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10"/>
  <workbookPr defaultThemeVersion="166925"/>
  <mc:AlternateContent xmlns:mc="http://schemas.openxmlformats.org/markup-compatibility/2006">
    <mc:Choice Requires="x15">
      <x15ac:absPath xmlns:x15ac="http://schemas.microsoft.com/office/spreadsheetml/2010/11/ac" url="C:\Users\ferch\IDIPRON\2024\Mapa de Riesgos 2024\"/>
    </mc:Choice>
  </mc:AlternateContent>
  <xr:revisionPtr revIDLastSave="65" documentId="8_{C79BF789-588A-44B5-9F05-4F7BBDDD2C7E}" xr6:coauthVersionLast="47" xr6:coauthVersionMax="47" xr10:uidLastSave="{89A2AA24-4215-4870-B616-023B6A7877AE}"/>
  <bookViews>
    <workbookView xWindow="-108" yWindow="-108" windowWidth="23256" windowHeight="12456" xr2:uid="{E9951750-6718-4E65-99C4-7D8C6E70D595}"/>
  </bookViews>
  <sheets>
    <sheet name="Riesgo 1" sheetId="3" r:id="rId1"/>
    <sheet name="Datos" sheetId="5" state="hidden" r:id="rId2"/>
    <sheet name="Instructivo" sheetId="4" r:id="rId3"/>
  </sheets>
  <definedNames>
    <definedName name="_xlnm.Print_Area" localSheetId="0">'Riesgo 1'!$A$1:$AK$23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6" i="3" l="1"/>
  <c r="S36" i="3"/>
  <c r="V34" i="3"/>
  <c r="S34" i="3"/>
  <c r="V37" i="3"/>
  <c r="S37" i="3"/>
  <c r="V35" i="3"/>
  <c r="S35" i="3"/>
  <c r="V33" i="3"/>
  <c r="S33" i="3"/>
  <c r="V32" i="3"/>
  <c r="S32" i="3"/>
  <c r="K32" i="3"/>
  <c r="L32" i="3" s="1"/>
  <c r="M32" i="3" s="1"/>
  <c r="H32" i="3"/>
  <c r="N32" i="3" s="1"/>
  <c r="O32" i="3" s="1"/>
  <c r="V31" i="3"/>
  <c r="S31" i="3"/>
  <c r="V30" i="3"/>
  <c r="S30" i="3"/>
  <c r="V29" i="3"/>
  <c r="S29" i="3"/>
  <c r="V28" i="3"/>
  <c r="S28" i="3"/>
  <c r="V22" i="3"/>
  <c r="S22" i="3"/>
  <c r="S20" i="3"/>
  <c r="V20" i="3"/>
  <c r="V26" i="3"/>
  <c r="S26" i="3"/>
  <c r="V25" i="3"/>
  <c r="S25" i="3"/>
  <c r="V24" i="3"/>
  <c r="S24" i="3"/>
  <c r="V19" i="3"/>
  <c r="S19" i="3"/>
  <c r="V27" i="3"/>
  <c r="S27" i="3"/>
  <c r="K27" i="3"/>
  <c r="L27" i="3" s="1"/>
  <c r="M27" i="3" s="1"/>
  <c r="H27" i="3"/>
  <c r="AD36" i="3" l="1"/>
  <c r="AD30" i="3"/>
  <c r="AD31" i="3" s="1"/>
  <c r="AC31" i="3" s="1"/>
  <c r="AD32" i="3"/>
  <c r="AC32" i="3" s="1"/>
  <c r="I32" i="3"/>
  <c r="Z32" i="3" s="1"/>
  <c r="AD33" i="3"/>
  <c r="AC33" i="3" s="1"/>
  <c r="AC30" i="3"/>
  <c r="N27" i="3"/>
  <c r="O27" i="3" s="1"/>
  <c r="I27" i="3"/>
  <c r="Z27" i="3" s="1"/>
  <c r="AD27" i="3"/>
  <c r="AC27" i="3" s="1"/>
  <c r="AC36" i="3" l="1"/>
  <c r="AD37" i="3"/>
  <c r="AC37" i="3" s="1"/>
  <c r="AD28" i="3"/>
  <c r="AD29" i="3" s="1"/>
  <c r="AC29" i="3" s="1"/>
  <c r="AB32" i="3"/>
  <c r="Z33" i="3" s="1"/>
  <c r="AA32" i="3"/>
  <c r="AE32" i="3" s="1"/>
  <c r="AF32" i="3" s="1"/>
  <c r="AD34" i="3"/>
  <c r="AC28" i="3"/>
  <c r="AA27" i="3"/>
  <c r="AE27" i="3" s="1"/>
  <c r="AF27" i="3" s="1"/>
  <c r="AB27" i="3"/>
  <c r="Z28" i="3" s="1"/>
  <c r="AC34" i="3" l="1"/>
  <c r="AD35" i="3"/>
  <c r="AC35" i="3" s="1"/>
  <c r="AA33" i="3"/>
  <c r="AE33" i="3" s="1"/>
  <c r="AF33" i="3" s="1"/>
  <c r="AB33" i="3"/>
  <c r="V23" i="3"/>
  <c r="V21" i="3"/>
  <c r="S23" i="3"/>
  <c r="S21" i="3"/>
  <c r="Z34" i="3" l="1"/>
  <c r="Z37" i="3"/>
  <c r="AB28" i="3"/>
  <c r="AA28" i="3"/>
  <c r="AE28" i="3" s="1"/>
  <c r="AF28" i="3" s="1"/>
  <c r="K24" i="3"/>
  <c r="H24" i="3"/>
  <c r="Z31" i="3" l="1"/>
  <c r="Z29" i="3"/>
  <c r="AA34" i="3"/>
  <c r="AE34" i="3" s="1"/>
  <c r="AF34" i="3" s="1"/>
  <c r="AB34" i="3"/>
  <c r="Z35" i="3" s="1"/>
  <c r="AB37" i="3"/>
  <c r="AA37" i="3"/>
  <c r="AE37" i="3" s="1"/>
  <c r="AF37" i="3" s="1"/>
  <c r="AA31" i="3"/>
  <c r="AE31" i="3" s="1"/>
  <c r="AF31" i="3" s="1"/>
  <c r="AB31" i="3"/>
  <c r="L24" i="3"/>
  <c r="M24" i="3" s="1"/>
  <c r="AD24" i="3" s="1"/>
  <c r="I24" i="3"/>
  <c r="Z24" i="3" s="1"/>
  <c r="AB24" i="3" s="1"/>
  <c r="Z25" i="3" s="1"/>
  <c r="AA25" i="3" s="1"/>
  <c r="AB29" i="3" l="1"/>
  <c r="Z30" i="3" s="1"/>
  <c r="AA29" i="3"/>
  <c r="AE29" i="3" s="1"/>
  <c r="AF29" i="3" s="1"/>
  <c r="AB35" i="3"/>
  <c r="Z36" i="3" s="1"/>
  <c r="AA35" i="3"/>
  <c r="AE35" i="3" s="1"/>
  <c r="AF35" i="3" s="1"/>
  <c r="AB25" i="3"/>
  <c r="Z26" i="3" s="1"/>
  <c r="AC24" i="3"/>
  <c r="AD25" i="3"/>
  <c r="AC25" i="3" s="1"/>
  <c r="N24" i="3"/>
  <c r="O24" i="3" s="1"/>
  <c r="AA24" i="3"/>
  <c r="AB36" i="3" l="1"/>
  <c r="AA36" i="3"/>
  <c r="AE36" i="3" s="1"/>
  <c r="AF36" i="3" s="1"/>
  <c r="AB30" i="3"/>
  <c r="AA30" i="3"/>
  <c r="AE30" i="3" s="1"/>
  <c r="AF30" i="3" s="1"/>
  <c r="AE24" i="3"/>
  <c r="AF24" i="3" s="1"/>
  <c r="AE25" i="3"/>
  <c r="AF25" i="3" s="1"/>
  <c r="AD26" i="3"/>
  <c r="AA26" i="3"/>
  <c r="AB26" i="3"/>
  <c r="AC26" i="3" l="1"/>
  <c r="AE26" i="3" s="1"/>
  <c r="AF26" i="3" s="1"/>
  <c r="V18" i="3"/>
  <c r="S18" i="3"/>
  <c r="V17" i="3" l="1"/>
  <c r="S17" i="3"/>
  <c r="K17" i="3" l="1"/>
  <c r="L17" i="3" s="1"/>
  <c r="M17" i="3" l="1"/>
  <c r="AD21" i="3" s="1"/>
  <c r="AD22" i="3" s="1"/>
  <c r="H17" i="3"/>
  <c r="AC22" i="3" l="1"/>
  <c r="AD23" i="3"/>
  <c r="AC23" i="3" s="1"/>
  <c r="AC21" i="3"/>
  <c r="AD17" i="3"/>
  <c r="I17" i="3"/>
  <c r="Z17" i="3" s="1"/>
  <c r="AA17" i="3" s="1"/>
  <c r="N17" i="3"/>
  <c r="O17" i="3" s="1"/>
  <c r="AC17" i="3" l="1"/>
  <c r="AE17" i="3" s="1"/>
  <c r="AF17" i="3" s="1"/>
  <c r="AD19" i="3"/>
  <c r="AC19" i="3" s="1"/>
  <c r="AD18" i="3"/>
  <c r="AB17" i="3"/>
  <c r="Z18" i="3" s="1"/>
  <c r="AC18" i="3" l="1"/>
  <c r="AD20" i="3"/>
  <c r="AC20" i="3" s="1"/>
  <c r="AA18" i="3"/>
  <c r="AE18" i="3" s="1"/>
  <c r="AF18" i="3" s="1"/>
  <c r="AB18" i="3"/>
  <c r="Z19" i="3" s="1"/>
  <c r="AB19" i="3" l="1"/>
  <c r="Z20" i="3" s="1"/>
  <c r="AA19" i="3"/>
  <c r="AE19" i="3" s="1"/>
  <c r="AF19" i="3" s="1"/>
  <c r="AB20" i="3" l="1"/>
  <c r="Z21" i="3" s="1"/>
  <c r="AA20" i="3"/>
  <c r="AE20" i="3" s="1"/>
  <c r="AF20" i="3" s="1"/>
  <c r="AB21" i="3"/>
  <c r="AA21" i="3"/>
  <c r="AE21" i="3" s="1"/>
  <c r="AF21" i="3" s="1"/>
  <c r="Z23" i="3" l="1"/>
  <c r="Z22" i="3"/>
  <c r="AB23" i="3"/>
  <c r="AA23" i="3"/>
  <c r="AE23" i="3" s="1"/>
  <c r="AF23" i="3" s="1"/>
  <c r="AA22" i="3" l="1"/>
  <c r="AE22" i="3" s="1"/>
  <c r="AF22" i="3" s="1"/>
  <c r="AB2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tc={7D11A6DD-DF2A-4FA7-B2B4-157F7FF6B7B1}</author>
    <author>tc={70B22DDB-DDC7-47AD-B1DE-92892F312300}</author>
    <author>tc={332271FA-2FAF-45FA-8395-3D342172446C}</author>
    <author>tc={65F2478C-CC71-4CD5-AEBB-D8FCBCDFC767}</author>
    <author>tc={6F32358D-4DDF-427D-ACD7-3F47A9F30F92}</author>
  </authors>
  <commentList>
    <comment ref="G17" authorId="0" shapeId="0" xr:uid="{7D11A6DD-DF2A-4FA7-B2B4-157F7FF6B7B1}">
      <text>
        <t xml:space="preserve">[Threaded comment]
Your version of Excel allows you to read this threaded comment; however, any edits to it will get removed if the file is opened in a newer version of Excel. Learn more: https://go.microsoft.com/fwlink/?linkid=870924
Comment:
    Se toma como referencia el numero de solicitudes de recolección de residuos de agosto a diciembre 2022 a través del aplicativo ARANDA
Reply:
    Para 2024 se toma como referencia el numero de solicitudes de recolección de residuos de 2023 a través del aplicativo ARANDA
</t>
      </text>
    </comment>
    <comment ref="J17" authorId="1" shapeId="0" xr:uid="{70B22DDB-DDC7-47AD-B1DE-92892F312300}">
      <text>
        <t>[Threaded comment]
Your version of Excel allows you to read this threaded comment; however, any edits to it will get removed if the file is opened in a newer version of Excel. Learn more: https://go.microsoft.com/fwlink/?linkid=870924
Comment:
    Se toma como base lo establecido en el Art. 40 de la ley 1333 de 2009</t>
      </text>
    </comment>
    <comment ref="G24" authorId="2" shapeId="0" xr:uid="{332271FA-2FAF-45FA-8395-3D342172446C}">
      <text>
        <t>[Threaded comment]
Your version of Excel allows you to read this threaded comment; however, any edits to it will get removed if the file is opened in a newer version of Excel. Learn more: https://go.microsoft.com/fwlink/?linkid=870924
Comment:
    Se toma como referencia las 11 unidades en donde existen comedores o donde se dictan talleres industriales como mantenimiento de motos, mantenimiento de vehículos, serigrafia, belleza, vitrales, mantenimiento de bicicletas, etc
Reply:
    Para 2024 se toma como base  9 upis que para esta vigencia se encuentran en operación</t>
      </text>
    </comment>
    <comment ref="G27" authorId="3" shapeId="0" xr:uid="{65F2478C-CC71-4CD5-AEBB-D8FCBCDFC767}">
      <text>
        <t>[Threaded comment]
Your version of Excel allows you to read this threaded comment; however, any edits to it will get removed if the file is opened in a newer version of Excel. Learn more: https://go.microsoft.com/fwlink/?linkid=870924
Comment:
    Para 2024 se aumenta a 6 teniendo en cuenta las unidades rurales que se encuentran bajo responsabilidad del IDIPRON</t>
      </text>
    </comment>
    <comment ref="G32" authorId="4" shapeId="0" xr:uid="{6F32358D-4DDF-427D-ACD7-3F47A9F30F92}">
      <text>
        <t>[Threaded comment]
Your version of Excel allows you to read this threaded comment; however, any edits to it will get removed if the file is opened in a newer version of Excel. Learn more: https://go.microsoft.com/fwlink/?linkid=870924
Comment:
    Para 2024 se toma en cuenta las 13 UPIS de la entidad ubicadas en el Distrito Capital y XX  vehículos propios de la entidad</t>
      </text>
    </comment>
  </commentList>
</comments>
</file>

<file path=xl/sharedStrings.xml><?xml version="1.0" encoding="utf-8"?>
<sst xmlns="http://schemas.openxmlformats.org/spreadsheetml/2006/main" count="357" uniqueCount="240">
  <si>
    <t>GESTION AMBIENTAL</t>
  </si>
  <si>
    <t>CÓDIGO</t>
  </si>
  <si>
    <t>E-PLA-FT-020</t>
  </si>
  <si>
    <t>VERSIÓN</t>
  </si>
  <si>
    <t>09</t>
  </si>
  <si>
    <t>MAPA DE RIESGOS DE GESTIÓN</t>
  </si>
  <si>
    <t>PÁGINA</t>
  </si>
  <si>
    <t>1 DE 1</t>
  </si>
  <si>
    <t>VIGENTE DESDE</t>
  </si>
  <si>
    <t>Proceso</t>
  </si>
  <si>
    <t>Objetivo del Proceso</t>
  </si>
  <si>
    <t>Prevenir y/o mitigar los impactos ambientales generados por el desarrollo de las actividades misionales y administrativas en el IDIPRON a través del desarrollo de de planes, programas, acciones y controles operacionales que involucren a los NNAJ, funcionarios, contratistas y proveedores en las unidades de protección integral y sedes administrativas del instituto; con el fin de dar cumplimiento al marco normativo ambiental y políticas publicas ambientales distritales y nacionales.</t>
  </si>
  <si>
    <t>Alcance</t>
  </si>
  <si>
    <t>El proceso inicia con la identificación de aspectos, impactos ambientales y el marco normativo ambiental aplicable en las unidades de protección integral y sedes administrativas; siguiendo con la formulación e implementación de planes, programas, acciones y controles  operacionales para la prevención y mitigación de las afectaciones negativas al medio ambiente producidas por la ejecución de las actividades misionales y administrativas del instituto; finalizando con el seguimiento de los planes, programas, acciones, controles operacionales y reporte de avance que den cumplimiento al marco de la normatividad ambiental aplicable y al mejoramiento del desempeño ambiental de la Entidad.</t>
  </si>
  <si>
    <t>IDENTIFICACIÓN DEL RIESGO</t>
  </si>
  <si>
    <t>VALORACIÓN DEL RIESGO</t>
  </si>
  <si>
    <t>GESTIÓN DEL RIESGO</t>
  </si>
  <si>
    <t xml:space="preserve">MONITOREO </t>
  </si>
  <si>
    <t>SEGUIMIENTO Y EVALUACIÓN</t>
  </si>
  <si>
    <t>Atributos</t>
  </si>
  <si>
    <t>No. De Riesgo</t>
  </si>
  <si>
    <t>Impacto</t>
  </si>
  <si>
    <t>Causa Inmediata</t>
  </si>
  <si>
    <t>Causa Raiz</t>
  </si>
  <si>
    <t>Descripción del Riesgo</t>
  </si>
  <si>
    <t>Clasificación Riesgo</t>
  </si>
  <si>
    <t>Frecuencia con la que se realiza la actividad</t>
  </si>
  <si>
    <t>Probabilidad 
Inherente</t>
  </si>
  <si>
    <t>%</t>
  </si>
  <si>
    <t>Criterios de Impacto</t>
  </si>
  <si>
    <t>Observacion de Impacto</t>
  </si>
  <si>
    <t>Impacto
 Inherente</t>
  </si>
  <si>
    <t>Zona de riesgo</t>
  </si>
  <si>
    <t>Zona de riesgo
inherente</t>
  </si>
  <si>
    <t>No. De control</t>
  </si>
  <si>
    <t>Descripción del Control</t>
  </si>
  <si>
    <t>Afectación</t>
  </si>
  <si>
    <t xml:space="preserve">Tipo </t>
  </si>
  <si>
    <t>Implementación</t>
  </si>
  <si>
    <t>Calificación</t>
  </si>
  <si>
    <t>Documentación</t>
  </si>
  <si>
    <t>Frecuencia</t>
  </si>
  <si>
    <t>Evidencia</t>
  </si>
  <si>
    <t xml:space="preserve">Probabilidad Residual </t>
  </si>
  <si>
    <t>Probabilidad Residual Final</t>
  </si>
  <si>
    <t>Impacto Residual Final</t>
  </si>
  <si>
    <t>Zona de Riesgo Final</t>
  </si>
  <si>
    <t>Tratamiento</t>
  </si>
  <si>
    <t>Plan de Acción</t>
  </si>
  <si>
    <t>Responsable</t>
  </si>
  <si>
    <t>Fecha implementación</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</si>
  <si>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</si>
  <si>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</si>
  <si>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</si>
  <si>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</si>
  <si>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</si>
  <si>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</si>
  <si>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</si>
  <si>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Económico</t>
  </si>
  <si>
    <t>Multas y Sanciones</t>
  </si>
  <si>
    <t xml:space="preserve">incumplimiento de los lineamientos legales y operacionales para realizar la gestion integral de todas las corrientes de residuos generadas en las sedes del IDIPRON </t>
  </si>
  <si>
    <t xml:space="preserve">Posibles afectaciones economicas por multas y sanciones de la autoridad ambiental debido al incumplimiento de los lineamientos legales y operacionales para realizar la gestion integral de todas las corrientes de residuos sólidos generados en las sedes del IDIPRON </t>
  </si>
  <si>
    <t xml:space="preserve">Afectación Mayor a 3000 SMLMV </t>
  </si>
  <si>
    <t>Trimestralmente el responsable del proceso de gestion ambiental, consolida la información referente a la recolección de residuos sólidos en el cual se incorporan las sedes generadoras, la fecha en que se generó la recolección, la empresa que realizo la recolección, la certificación y/o manifiesto de recolección y la cantidad de kilogramos recogidos por cada una de las clases de residuos.</t>
  </si>
  <si>
    <t>Detectivo</t>
  </si>
  <si>
    <t>Manual</t>
  </si>
  <si>
    <t>Manual de Gestión Integral de Residuos A-GAM-MA-002</t>
  </si>
  <si>
    <t>Trimestramente</t>
  </si>
  <si>
    <t xml:space="preserve">Consolidado Integral de Generación de Residuos </t>
  </si>
  <si>
    <t>ACEPTAR EL RIESGO</t>
  </si>
  <si>
    <t>Realizar capacitaciones frente a los controles operacionales existentes en el Manual de Gestión Integral de Residuos  a los refrentes y responables de las unidades de proteción integral y sedes administrativas</t>
  </si>
  <si>
    <t>Profesionales del Área de Gestión Ambiental</t>
  </si>
  <si>
    <t xml:space="preserve">Control 1: Se recolecto la informacion de generación de residuos aprovechables, peligrosos, organicos y especiales mediante el formato A-GAM-FT-005 Cosolidado Integral de Generación de Residuos, para el periodo comprendido del 01 de Enero al 30 de Junio del 2024 se generaron un total de 127,6 toneladas de residuos.
Control 2: La Gerencia Administrativa por medio del proceso de gestion ambiental, tuvo  vigente  los contratos 1385-2023 y 1901-2023  y los acuerdo de corresponsabilidad  2477-2018 y el 1850 del 2021, para gestionar los residuos aprovechables, especiales, peligrosos y organicos que se generan en las unidades de protección integral y demas sedes que se encuentran bajo la responsabilidad del IDIPRON.
Control 3: Se recaudaron  y consolidaron los certificadios de disposción final de recoleccion de residuos aprovechables y organicos generados durante el periodo del 1 de Abril al 30 de Agosto del 2024
Control 4: Durante el 1 enero al 30 de agosto del 2024, no se ha podido ejecutar este control por tres razones:
La primera razon es por que durante los meses de enero a marzo las unidades no tenian Responsables PIGA contratados que atendieran las visitas mensuales a las Sedes Administrativas y Unidades de protección Integral
La Segunda razon, es por que el proceso de gestion ambiental a partir del 6 de marzo tuvo una reducción en el personal contratado que a limitado el actuar del proceso y solo se encuentra operando con tres personas en la actualidad.
La tercera razón: Debido a la rotación del personal contratado para el proceso de gestion ambiental causado por  la celebración de contratos cortos  y retiros voluntarios del  personal contratado, no ha sido posible dar continuidad a los procesos  de asesoría tecnica, revision y verificación de los controles operacionales ambientales en las Sedes y Unidades de Protección Integral del IDIPRON, teniendo en cuenta que no logran afianzar los conocimientos necesarios de la operacion de residuos, para que puedan realizar la visitas.
Control 5: Durante el 1 enero al 30 de agosto del 2024, no se ha podido ejecutar este control por tres razones:
La primera razon es por que durante los meses de enero a marzo las unidades no tenian Responsables PIGA contratados que atendieran las visitas mensuales a las Sedes Administrativas y Unidades de protección Integral
La Segunda razon, es por que el proceso de gestion ambiental a partir del 6 de marzo tuvo una reducción en el personal contratado que a limitado el actuar del proceso y solo se encuentra operando con tres personas en la actualidad.
La tercera razón: Debido a la rotación del personal contratado para el proceso de gestion ambiental causado por  la celebración de contratos cortos  y retiros voluntarios del  personal contratado, no ha sido posible dar continuidad a los procesos  de asesoría tecnica, revision y verificación de los controles operacionales ambientales en las Sedes y Unidades de Protección Integral del IDIPRON, teniendo en cuenta que no logran afianzar los conocimientos necesarios de la operacion de residuos, para que puedan realizar la visitas.
Control 6 y 7: no se han efectuado teniendo en cuenta que no se ha podido evidenciar y verificar la materializacion del riesgo y segundo para la vigencia 2024, no se ha iniciado la estructuracion de nuevos procesos de contratación, teniendo en cuenta que se prorrogaron y adicionaron los contratos suscritos en la vigencia 2023.  </t>
  </si>
  <si>
    <t xml:space="preserve">Actividad 1: Durante el 1 enero al 30 de agosto del 2024, no se ha podido ejecutar este control por tres razones:
La primera razon es por que durante los meses de enero a marzo las unidades no tenian Responsables PIGA contratados que atendieran las visitas mensuales a las Sedes Administrativas y Unidades de protección Integral
La Segunda razon, es por que el proceso de gestion ambiental a partir del 6 de marzo tuvo una reducción en el personal contratado que a limitado el actuar del proceso y solo se encuentra operando con tres personas en la actualidad.
La tercera razón: Debido a la rotación del personal contratado para el proceso de gestion ambiental debido a celebración de contratos cortos  y retiros voluntarios de este personal, no ha sido posible dar continuidad a los procesos de formación y capacitación de los referentes y responsables PIGA de las Sedes y Unidades de Protección Integral del IDIPRON, teniendo en cuenta que no logran afianzar los conocimientos necesarios de la operacion de residuos, para que puedan brindar estas capacitaciones. </t>
  </si>
  <si>
    <t xml:space="preserve">Durante el periodo comprendido del 01 de Enero al  30 de Agosto del 2024, este riesgo no se ha materializo. Por tal motivo no fue necesario ejecutar la acción establecida para la materialización </t>
  </si>
  <si>
    <t xml:space="preserve"> Durante el 1 enero al 30 de agosto del 2024, no se ha podido ejecutar completamente tofod los  controles para esste riesgo por tres razones:
La primera razon es por que durante los meses de enero a marzo las unidades no tenian Responsables PIGA contratados que atendieran las visitas mensuales a las Sedes Administrativas y Unidades de protección Integral
La Segunda razon, es por que el proceso de gestion ambiental a partir del 6 de marzo tuvo una reducción en el personal contratado que a limitado el actuar del proceso y solo se encuentra operando con tres personas en la actualidad.
La tercera razón: Debido a la rotación del personal contratado para el proceso de gestion ambiental causado por  la celebración de contratos cortos  y retiros voluntarios del  personal contratado, no ha sido posible dar continuidad a los procesos  de asesoría tecnica, revision y verificación de los controles operacionales ambientales en las Sedes y Unidades de Protección Integral del IDIPRON, teniendo en cuenta que no logran afianzar los conocimientos necesarios de la operacion de residuos.</t>
  </si>
  <si>
    <t>Control N°1: Se identifica la aplicación del control con el consolidado de la información relacionada con los residuos recolectados para el trimestre
Control N°2: Se verifica la aplicación del control mediante los contratos y acuerdos vigentes para la gestión y recolección de los residuos
Control N°3: Se evidencia la aplicación del control con los certificados de disposición final de los residuos correspondientes al periodo
El proceso indica que no se han ejecutado los controles 4, 5, 6 y 7 por tal razón no hay evidencia de la aplicación de los mismos
Acción de fortalecimiento: no se encuentran lo soportes de las acciones de fortalecimiento
Para el periodo no se materializó el riesgo</t>
  </si>
  <si>
    <t>Control N° 1: Se evidenció la ejecución de la actividad de control</t>
  </si>
  <si>
    <t xml:space="preserve"> La Gerencia Administrativa, cada vigencia, verifica que se cuente con contratos vigentes para la disposición de los diferentes tipos de residuos. En caso de que se detecte que no se cuenta con el contrato vigente para la disposición de algun tipo de residuo, se procede a adelantar el respectivo proceso contractual</t>
  </si>
  <si>
    <t>Preventivo</t>
  </si>
  <si>
    <t>Manual Gestión Integral de Residuos A-GAM-MA-002</t>
  </si>
  <si>
    <t>Anualmente</t>
  </si>
  <si>
    <t>Contratos firmados</t>
  </si>
  <si>
    <t>Control N° 2: Se evidenció la ejecución de la actividad de control</t>
  </si>
  <si>
    <t>Mensualmente, el responsable del proceso solicita a los proveedores de servicios de recolección de residuos, la generación de manifiestos de recolección de residuos y/o certificaciones de tratamiento y disposición final de residuos</t>
  </si>
  <si>
    <t>Cláusulas de los contratos de los proveedores de servicios de recolección de residuos</t>
  </si>
  <si>
    <t>Mensualmente</t>
  </si>
  <si>
    <t xml:space="preserve"> Manifiestos de recolección de residuos 
y/o
Certificaciones emitidas</t>
  </si>
  <si>
    <t>Control N° 3: Se evidenció la ejecución de la actividad de control</t>
  </si>
  <si>
    <t xml:space="preserve">Mensualmente, los profesionales, tecnólogos o técnicos del proceso de Gestión Ambiental, realizan visita a todas las Unidades de Protección Integral, revisando la gestión adecuada de los residuos, de acuerdo con los lineamientos establecidos en el Manual de Gestión Integral de Residuos A-GAM-MA-002 y el  Manual de Operaciones del Proceso de Gestión Ambiental  A-GAM-MA-004 </t>
  </si>
  <si>
    <t xml:space="preserve">Manual de Operaciones del Proceso de Gestión Ambiental  A-GAM-MA-004 </t>
  </si>
  <si>
    <t xml:space="preserve"> A-GOD-FT-004 ACTA
 A-GDH-FT-010 
REGISTRO DE ASISTENCIA COMITÉ, JUNTA, REUNION </t>
  </si>
  <si>
    <t>Control N° 4: No se aportó evidencia que dé cuenta de la ejecución de la actividad de control.
Recomendación: Es necesaria la aplicación del control, ya que de otra manera no es posible evidenciar si existen o no condiciones para la materialización del riesgo.</t>
  </si>
  <si>
    <t>Los profesionales del área de gestión ambiental realizan 2 visitas de diagnóstico y 2 visitas de seguimiento ambiental a todas las Upis y Sedes Administrativas en el transcurso de la vigencia, verificando el cumplimiento de la normatividad ambiental relacionada con los residuos sólidos, los resultados de las visitas son registrados en los formatos A-GAM-FT 014 y A-GAM-FT 007.</t>
  </si>
  <si>
    <t>Correctivo</t>
  </si>
  <si>
    <t>Procedimiento Seguimiento Ambiental A-GAM-PR-003</t>
  </si>
  <si>
    <t>Semestral</t>
  </si>
  <si>
    <t xml:space="preserve">formatos A-GAM-FT 014 
 A-GDO-FT-004 Acta de Visita
 y/o A-GAM-FT 007 de acuerdo con el procedimiento de A-GAM-PR-002 </t>
  </si>
  <si>
    <t>Control N° 5: No se aportó evidencia que dé cuenta de la ejecución de la actividad de control.
Recomendación: Es necesaria la aplicación del control, ya que de otra manera no es posible evidenciar si existen o no condiciones para la materialización del riesgo.</t>
  </si>
  <si>
    <t>Los profesionales del área de gestión ambiental, en el momento en que se detecta una disposición de residuos inadecuada, realiza la intervención de la upi o sede administrativa realizando la recoleccion de los residuos y su disposicición de acuerdo con los lineamientos establecidos en el  Manual de Gestión Integral de Residuos A-GAM-MA-002, posteriormente realiza  un seguimiento frecuente para evitar que se sigan presentando las situaciones detectadas</t>
  </si>
  <si>
    <t>en el momento en que se detecta una disposición de residuos inadecuada</t>
  </si>
  <si>
    <t>A-GDO-FT-004 Acta de Visita
A-GDH-FT-010 
Registro de Asistencia Comité, Junta, Reunión</t>
  </si>
  <si>
    <t xml:space="preserve">Control N° 6: Se reporto que no se ejecutó la actividad de control en este periodo.
</t>
  </si>
  <si>
    <t>Cada vez que se adelante proceso de estructuración de los contratos de gestion de residuos, el comité estructurador incluye dentro de los amparos exigidos a los proponentes, la suscripción de tomas de aseguramiento relacionadas con la calidad del servicio, cumplimiento a las obligaciones contractuales y la responsabilidad civil extracontractual frente a la posible mala gestión de los residuos</t>
  </si>
  <si>
    <t>Manual de contratación????</t>
  </si>
  <si>
    <t>Cada vez que se adelante proceso de estructuración de los contratos de gestion de residuos</t>
  </si>
  <si>
    <t>Pólizas de amparo de los contratos vigentes</t>
  </si>
  <si>
    <t>Control N° 7: Se reportó que durante este periodo no se dio aplicación a la actividad de control.
Acción de Fortalecimiento:  No se aportó evidencia que dé cuenta de la ejecución de la actividad de control.
Materialización del Riesgo: No se reporta materialización del riesgo, sin embargo la ausencia de los controles 4, 5 y 6, no da certeza sobre la existencia de condiciones para la materialización del riesgo.</t>
  </si>
  <si>
    <t xml:space="preserve">incumplimiento de los lineamientos legales y operacionales para realizar los vertimientos a las redes de alcantarillado y/o fuentes hídricas   generados en las sedes del IDIPRON </t>
  </si>
  <si>
    <t xml:space="preserve">Posibles afectaciones economicas por multas y sanciones de la autoridad ambiental debido al incumplimiento de los lineamientos legales y operacionales para realizar los vertimientos a las redes de alcantarillado y/o fuentes hídricas   generados en las sedes del IDIPRON </t>
  </si>
  <si>
    <r>
      <t xml:space="preserve">Los referentes y responsables PIGA de cada </t>
    </r>
    <r>
      <rPr>
        <sz val="12"/>
        <rFont val="Times New Roman"/>
        <family val="1"/>
      </rPr>
      <t xml:space="preserve">Unidad de Protección Integral y/o sede administrativa cada vez que se requiera hacer la recolección de los residuos liquidos y acuosos, verifican el tipo de residuos se están generando  (organicos y/o peligrosos) y solicitan a través de la mesa de ayuda la recolección de los residuos , así mismo solicita la limpieza de trampas de grasa y pozos sépticos </t>
    </r>
  </si>
  <si>
    <t xml:space="preserve">Manual de Saneamiento Básico  A-GAM-MA-001 / Manual de Gestion Integral de Residuos A-GAM-MA-002  e Instructivo de Mesa de Ayuda A-GAM-IN-001 </t>
  </si>
  <si>
    <t>cada vez que se requiera realizar la disposicion de residuos liquidos y acuosos</t>
  </si>
  <si>
    <t>Reporte de la Mesa de Ayuda con la solicitud de recoleccion de residuos, limpieza de trampas de grasa y limpieza de pozos sépticos</t>
  </si>
  <si>
    <t>REDUCIR EL RIESGO</t>
  </si>
  <si>
    <t>Realizar capacitaciones en las unidades en donde existen riesgo de vertimientos (por ejemplo comedores o donde se dictan talleres industriales como mantenimiento de motos, mantenimiento de vehículos, serigrafia, belleza, vitrales, mantenimiento de bicicletas, etc.) sobre el manejo de los residuos liquidos a fuentes hídricas</t>
  </si>
  <si>
    <t>Control 1: Durante el periodo comprendido del 1de enero  al 30 de Agosto del 2024, Se recibieron 58 solicitudes de los servicios de  limpieza de trampa de grasa y pozos septicos,  de las cuales 57 fueron atendidas en terminos de oportunidad y efectividad;  una solicitud se encuentra en proceso,
Control 2: Este control siempre se ejecuta durante el III cuatrimestre de cada vigencia, especificamente en el mes de noviembre. Por lo anterior se tienen los analisis de caracterización de agua residual de la vigencia 2023, tomados durante el mes de octubre, noviembre y diciembre de la vigencia 2023
Control 3: El día 25 de junio del 2024, fue notificada la entidad por la SDA, con motivo de inicio del proceso sancionatorio por el incumplimiento a los parametros permitidos de vertimientos establecidos en la Resolucion 631 del 2015 a la red de alcatarillado de la ciudad de Bogota, especificamente a las redes aledañas en la UPI Bosa. 
Por lo anterior se activo la mesa de trabajo integral con la oficina asesora juridica, la gerencia de recursos fisicos - proceso de mantenimiento de bienes y la gerencia administrativa - proceso de gestion ambiental, para establecer el plan de trabajo para atender el proceso sancionatorio, la cual quedo grabada en el siguiente link. https://idipronbgta-my.sharepoint.com/:v:/g/personal/luisf_garzon_idipron_gov_co/EYWT77qD9CJMuZPBDM8u-IsBrZKTCnc0RUDiTU2Ykz5tVQ?nav=eyJyZWZlcnJhbEluZm8iOnsicmVmZXJyYWxBcHAiOiJPbmVEcml2ZUZvckJ1c2luZXNzIiwicmVmZXJyYWxBcHBQbGF0Zm9ybSI6IldlYiIsInJlZmVycmFsTW9kZSI6InZpZXciLCJyZWZlcnJhbFZpZXciOiJNeUZpbGVzTGlua0NvcHkifX0&amp;e=rmbkyd</t>
  </si>
  <si>
    <t xml:space="preserve">Durante el periodo comprendido del 01 de enero al 30 de abril del 2024,  no se adelantaron proceso de formacion y capacitación, teniendo en cuenta que estas capacitaciones fueron impartidas al finalizar la vigencia 2023. Se tiene contemplado estos mismos proceso de formacion y capacitación para el III cuatrimestre de la vigencia 2024 </t>
  </si>
  <si>
    <t xml:space="preserve">Durante el periodo comprendido del 01 de mayo al 30 de Agosto del 2024, este riesgo se materializo. Por tal motivo fue necesario ejecutar la acción establecida para la materialización, Se realizo visita de identificación de las condiciones fisicas el día 26 de Juliio del 2024 y se establecio el plan de trabajo para ejecutar los controles operacionales fisicos para controlare los vertimientos lo cual quedo mediante acta de reunion y lista de asistencia </t>
  </si>
  <si>
    <t>El riesgo "incumplimiento de los lineamientos legales y operacionales para realizar los vertimientos a las redes de alcantarillado y/o fuentes hídricas   generados en las sedes del IDIPRON " se materializado y fue notificado por la SDA mediante el AUTO 03095</t>
  </si>
  <si>
    <t>Control No. 1: Se verifica la aplicación del control con las solicitudes realizadas y gestionadas por medio de la mesa de ayuda
Control No. 2: Este control se aplica anualmente y el proceso indica que se realiza en el tercer cuatrimestre.
Control No. 3: Se realiza mesa de trabajo para atender el proceso sancionatorio por incumplimiento a los parametros permitidos de vertimientos de la SDA
Acciones de Fortalecimiento: A la fecha no se han ejecutado actividades de capacitación, La acción se encuentra en términos
Materialización del riesgo: Se menciona que el riesgo se materializó pero no hay soporte del plan de trabajo de aucerdo al identificación de condiciones fisicas del día 26 de julio</t>
  </si>
  <si>
    <t>Control N° 1: Se evidenció la ejecución de la actividad de control.</t>
  </si>
  <si>
    <r>
      <t xml:space="preserve">El contratista seleccionado por la entidad, realiza mediciones una vez al año  a todas las Upis </t>
    </r>
    <r>
      <rPr>
        <sz val="12"/>
        <rFont val="Times New Roman"/>
        <family val="1"/>
      </rPr>
      <t>en las cuales se presentan vertimientos no domesticos</t>
    </r>
    <r>
      <rPr>
        <sz val="12"/>
        <color theme="1"/>
        <rFont val="Times New Roman"/>
        <family val="1"/>
      </rPr>
      <t xml:space="preserve">  verificando si se cumplen con los parametros establecidos en las resoluciones 631 de 2015 y  3957 de 2009 para el vertimiento de aguas a redes de alcantarillado. </t>
    </r>
  </si>
  <si>
    <t>Manual de Saneamiento Básico  A-GAM-MA-001</t>
  </si>
  <si>
    <t>Anual</t>
  </si>
  <si>
    <t>Informe s de resultados</t>
  </si>
  <si>
    <t>Control N° 2: Se reportó que durante este periodo no se dio aplicación a la actividad de control.
Recomendación: Se aconseja revisar la periodicidad en la aplicación de este control, ya que el riesgo se materializó.</t>
  </si>
  <si>
    <r>
      <rPr>
        <sz val="12"/>
        <color rgb="FF000000"/>
        <rFont val="Times New Roman"/>
      </rPr>
      <t xml:space="preserve">Los profesionales del </t>
    </r>
    <r>
      <rPr>
        <sz val="12"/>
        <rFont val="Times New Roman"/>
        <family val="1"/>
      </rPr>
      <t>proceso</t>
    </r>
    <r>
      <rPr>
        <sz val="12"/>
        <color rgb="FF000000"/>
        <rFont val="Times New Roman"/>
      </rPr>
      <t xml:space="preserve"> de gestión ambiental, en el momento en que se detecta un vertimiento por fuera de los parámetros establecidos, realiza la intervención de la upi o sede administrativa para identificar las razones que generan los resultados obtenidos y  </t>
    </r>
    <r>
      <rPr>
        <sz val="12"/>
        <rFont val="Times New Roman"/>
        <family val="1"/>
      </rPr>
      <t>proponer</t>
    </r>
    <r>
      <rPr>
        <sz val="12"/>
        <color rgb="FF000000"/>
        <rFont val="Times New Roman"/>
      </rPr>
      <t xml:space="preserve">  los controles operativos y/o de  infraestructura  para  lograr que la caracterizacion del agua cumpla con los parametros establecidos en las resoluciones de vertimientos.</t>
    </r>
  </si>
  <si>
    <t>en el momento en que se detecta un vertimiento por fuetra de los parámetros establecidos</t>
  </si>
  <si>
    <t>A-GDO-FT-004 Acta de Visita</t>
  </si>
  <si>
    <t>Control N° 3: Se evidenció la ejecución de la actividad de control.
Recomendación: Se recomienda revisar integralmente el mapa y establecer acciones encaminadas a fortalecer los controles existentes o a crear nuevos controles buscando evitar que se vuelva a presentar una materialización, porque aunque este control se aplico fue correctivo, luego de la materialización del riesgo.
Acciones de Fortalecimiento: Se reportó que durante este periodo no se dio aplicación a la actividad de control.
Materialización del Riesgo: El riesgo se materializó y actualmente cursa un proceso sancionatorio, por parte de las autoridades medioambientales.</t>
  </si>
  <si>
    <t xml:space="preserve">incumplimiento de los lineamientos legales y operacionales por realización de intervenciones forestales sin  contar con los permisos sin autorizacion de la autoridad ambiental   </t>
  </si>
  <si>
    <t xml:space="preserve">Posibles afectaciones economicas por multas y sanciones debido al incumplimiento de los lineamientos legales y operacionales por realización de intervenciones forestales sin  contar con los permisos y/o autorizacion de la autoridad ambiental   </t>
  </si>
  <si>
    <t>Los responsables ambientales de cada una de las unidades de protección integral rurales del IDIPRON y los profesionales del área de gestión ambiental , cada vez que van a realizar  una intervención forestal verifican los lineamientos establecidos en el Instructivo de Aprovechamiento Forestal  A-GAM-IN-002,  con el fin de garantizar el cumplimiento de los requistos dejando evidencia de su cumplimiento en los formatos A-GAM-FT-024 registro de visita para el aprovechamiento forestal en las upis y sedes del IDIPRON</t>
  </si>
  <si>
    <t>Instructivo de Aprovechamiento Forestal  A-GAM-IN-002</t>
  </si>
  <si>
    <t>cada vez que van a realizar  una intervención forestal</t>
  </si>
  <si>
    <t>formatos A-GAM-FT-024 registro de visita para el aprovechamiento forestal en las upis y sedes del IDIPRON</t>
  </si>
  <si>
    <t xml:space="preserve">Realizar capacitaciones frente a los controles operacionales existentes en el Instructivo de Aprovechamiento Forestañ  a los refrentes y responsables de las unidades de proteción integral  rurales </t>
  </si>
  <si>
    <t xml:space="preserve">Control 1: Los dias 20 de Abril, 02 y 10 mayo del 2024, se realizo el reporte de la caida de 2 arboles y la identificación de 14 arboles que se encuentran en riesgo de caida en la UPI El edén, los cuales se procedio a registrar en el formato A-GAM-FT-024 Registro Visita Para el aprovechamiento Forestal
Se realizo los correspondientes tramites ante la Corporación Autonoma Regional del Tolima para la obtención del permiso de aprovechamiento forestal por riesgo de caida .
Control 2: Durante el 1 enero al 30 de agosto del 2024, no se ha podido ejecutar este control por tres razones:
La primera razon es por que durante los meses de enero a marzo las unidades no tenian Responsables PIGA contratados que atendieran las visitas mensuales a las Sedes Administrativas y Unidades de protección Integral
La Segunda razon, es por que el proceso de gestion ambiental a partir del 6 de marzo tuvo una reducción en el personal contratado que a limitado el actuar del proceso y solo se encuentra operando con tres personas en la actualidad.
La tercera razón: Debido a la rotación del personal contratado para el proceso de gestion ambiental causado por  la celebración de contratos cortos  y retiros voluntarios del  personal contratado, no ha sido posible dar continuidad a los procesos  de asesoría tecnica, revision y verificación de los controles operacionales ambientales en las Sedes y Unidades de Protección Integral del IDIPRON, teniendo en cuenta que no logran afianzar los conocimientos necesarios de la operacion de aprovechamiento forestal para que puedan realizar la visitas.
Control 3: La gerencia administrativa el día 20 de agosto del 2024, solicito los recursos necesarios para poder adelantar y celebrar el proceso de contratación de aprovechamiento forestal de los arboles autorizados por la Corporación Autonoma del Tolima y la Secretaria Distrital de Ambiente.
Control 4 y 5: No fueron necesarios implementaros teniendo en cuenta que durante 1 de enero al 30 de Agosto del 2024, el riesgo no se materializo, por tal motivo no fueron necesarios implementar los controles correctivos del riesgo
</t>
  </si>
  <si>
    <t>Actividad 1: Durante el 1 enero al 30 de agosto del 2024, no se ha podido ejecutar este control por tres razones:
La primera razon es por que durante los meses de enero a marzo las unidades no tenian Responsables PIGA contratados que atendieran las visitas mensuales a las Sedes Administrativas y Unidades de protección Integral
La Segunda razon, es por que el proceso de gestion ambiental a partir del 6 de marzo tuvo una reducción en el personal contratado que a limitado el actuar del proceso y solo se encuentra operando con tres personas en la actualidad.
La tercera razón: Debido a la rotación del personal contratado para el proceso de gestion ambiental debido a celebración de contratos cortos  y retiros voluntarios de este personal, no ha sido posible dar continuidad a los procesos de formación y capacitación de los referentes y responsables PIGA de las Sedes y Unidades de Protección Integral del IDIPRON, teniendo en cuenta que no logran afianzar los conocimientos necesarios de la operacion de Aprovechamiento Forestal, para que puedan brindar estas capacitaciones.</t>
  </si>
  <si>
    <t xml:space="preserve"> Durante el 1 enero al 30 de agosto del 2024, no se ha podido ejecutar completamente tofod los  controles para esste riesgo por tres razones:
La primera razon es por que durante los meses de enero a marzo las unidades no tenian Responsables PIGA contratados que atendieran las visitas mensuales a las Sedes Administrativas y Unidades de protección Integral
La Segunda razon, es por que el proceso de gestion ambiental a partir del 6 de marzo tuvo una reducción en el personal contratado que a limitado el actuar del proceso y solo se encuentra operando con tres personas en la actualidad.
La tercera razón: Debido a la rotación del personal contratado para el proceso de gestion ambiental causado por  la celebración de contratos cortos  y retiros voluntarios del  personal contratado, no ha sido posible dar continuidad a los procesos  de asesoría tecnica, revision y verificación de los controles operacionales ambientales en las Sedes y Unidades de Protección Integral del IDIPRON, teniendo en cuenta que no logran afianzar los conocimientos necesarios de la operacion de aprovechamiento forestal.</t>
  </si>
  <si>
    <t>Control No. 1: Se verifica la aplicación del control con las visita y el registro en el formato A-GAM-FT-024
Control No. 2: El proceso indica la no aplicación del control para el periodo, No hay soportes en la carpeta de evidencias
Control No. 3:  Se verifica la aplicación del control con las cotizaciones y el estudio de mercado para la contratación de aprovechamiento forestal
Control 4 y 5: No se implementó el control para este periodo
El proceso no ha aplicado la acción de fortalecimiento
Para el periodo no se materializó el riesgo</t>
  </si>
  <si>
    <t>Control N° 2: No se aportó evidencia que dé cuenta de la ejecución de la actividad de control.</t>
  </si>
  <si>
    <t>La Gerente Administrativa, cada vez que se requiera realizar aprovechamiento forestal en las Unidades, gestiona los recursos necesarios para la contratación del corte y siembra de los árboles autorizados por la autoridad ambiental.</t>
  </si>
  <si>
    <t>Aprovechamiento Forestal  A-GAM-IN-002</t>
  </si>
  <si>
    <t>cada vez que se requiera realizar aprovechamiento forestal</t>
  </si>
  <si>
    <t>Control N° 3: Se evidenció la ejecución de la actividad de control.</t>
  </si>
  <si>
    <t>Los profesionales del área de gestión ambiental, en el momento en que se detecta una intervención forestal que no contó con los permisos y/o autorizacion de la autoridad ambiental, proceden a reportar el caso ante la autoridad y realizar las gestiones que se dispongan.</t>
  </si>
  <si>
    <t>en el momento en que se detecta una intervención forestal</t>
  </si>
  <si>
    <t xml:space="preserve">Actualizar el formato de aprocechamiento forestal
</t>
  </si>
  <si>
    <t>Control N° 4: Se reportó que durante este periodo no se dio aplicación a la actividad de control</t>
  </si>
  <si>
    <t>Cada vez que se adelante proceso de estructuración de aprovechamiento forestal, el comité estructurador incluye dentro de los amparos exigidos a los proponentes, la suscripción de tomas de aseguramiento relacionadas con la calidad del servicio, cumplimiento a las obligaciones contractuales y la responsabilidad civil extracontractual frente al posible mal aprovechamiento forestal</t>
  </si>
  <si>
    <t>Control N° 5: Se reportó que durante este periodo no se dio aplicación a la actividad de control.
Control de Fortalecimiento: No se aportó evidencia que dé cuenta de la ejecución de la actividad de control.
Materialización del Riesgo: No se reportó materialización del riesgo.
Recomendaciones: Es importante realizar los controles propuestos, para la mitigación de los riesgos</t>
  </si>
  <si>
    <t xml:space="preserve">incumplimiento de los lineamientos legales y operacionales por contaminación visual generada por avisos instalados en las fachadas, murales artísticos o vehiculos de la entidad  sin  contar con los permisos de la autoridad ambiental  </t>
  </si>
  <si>
    <t xml:space="preserve">Posibles afectaciones economicas por multas y sanciones debido al incumplimiento de los lineamientos legales y operacionales por contaminación visual generada por avisos instalados en las fachadas, murales artísticos o vehiculos de la entidad  sin  contar con los permisos de la autoridad ambiental    </t>
  </si>
  <si>
    <t>Cada vez que se vaya a pintar o adherir  elementos publicitarios en las fachadas de las Sedes Administrativas, Unidades de Protección Integral y en los vehículos institucionales , la Gerencia Administrativa por medio del equipo técnico que conforma el proceso de gestión ambiental bridará el asesoramiento para las condiciones técnicas que se deben cumplir</t>
  </si>
  <si>
    <t>Manual de Publicidad Exterior Visual A-GAM-MA-005</t>
  </si>
  <si>
    <t>Cada vez que se vaya a pintar o adherir  elementos publicitarios en las fachadas de las Sedes Administrativas, Unidades de Protección Integral y en los vehículos institucionales</t>
  </si>
  <si>
    <t>Realizar capacitaciones frente a los controles operacionales existentes en el Manual de Publicidad Exterior Visual  a los refrentes y responables de las unidades de proteción integral y sedes administrativas</t>
  </si>
  <si>
    <t>30 de agosto de 2024</t>
  </si>
  <si>
    <t>A la fecha de corte 12/09/2024, el proceso no realizó el monitoreo como primera línea de defensa a los controles diseñados y tampoco evidenció su ejecución</t>
  </si>
  <si>
    <t>Control N° 1: Se reportó que durante este periodo no se dio aplicación a la actividad de control.</t>
  </si>
  <si>
    <t xml:space="preserve">Cada vez que se vaya a pintar o adherir  elementos publicitarios en las fachadas de las Sedes Administrativas, Unidades de Protección Integral y en los vehículos institucionales, la Gerencia Administrativa por medio del equipo técnico que conforma el proceso de gestión ambiental realizará los trámites administrativos para la legalización ante la autoridad ambiental y de patrimonio </t>
  </si>
  <si>
    <t>Control N° 2: Se evidenció la ejecución de la actividad de control..</t>
  </si>
  <si>
    <t xml:space="preserve">Mensualmente, los profesionales, tecnólogos o técnicos del proceso de Gestión Ambiental, realizan visita a todas las Unidades de Protección Integral, revisando el cumplimiento a los lineamientos técnicos relacionados con la publicidad exterior visual </t>
  </si>
  <si>
    <t>Control N° 3: No se aportó evidencia que dé cuenta de la ejecución de la actividad de control.</t>
  </si>
  <si>
    <t>Semestralmente,  la Gerencia Administrativa por medio del equipo técnico que conforma el proceso de gestión ambiental realiza la verificación de la vigencia de los permisos de publicidad exterior visual de las unidades y vehiuculos institucionales</t>
  </si>
  <si>
    <t>Base de datos de las unidades y vehiculos con la información de la vigencia de los permisos
A-GDO-FT-004 Acta de Revisión</t>
  </si>
  <si>
    <t>Control N° 4: No se aportó evidencia que dé cuenta de la ejecución de la actividad de contro</t>
  </si>
  <si>
    <t>En caso de detectar un aviso o mural  que incumpla los lineamientos establecidos para la publicidad exterior visual, la Gerencia Administrativa por medio del equipo técnico que conforma el proceso de gestión ambiental, solicita a la Gerencia de Recursos Físicos la adecuación de la fachada para que cumpla los lineamientos técnicos del Manual de Publicidad Exterior Visual.</t>
  </si>
  <si>
    <t>No se encuentra documentado</t>
  </si>
  <si>
    <t>En caso de detectar un aviso o mural  que incumpla los lineamientos establecidos para la publicidad exterior visual</t>
  </si>
  <si>
    <t>Correo Electrónico</t>
  </si>
  <si>
    <t>Control N° 5 Se reportó que durante este periodo no se dio aplicación a la actividad de control.</t>
  </si>
  <si>
    <t>En caso de detectar un vehiculo que incumpla los lineamientos establecidos para la publicidad exterior visual, la Gerencia Administrativa por medio del equipo técnico que conforma el proceso de gestión ambiental, solicita al proceso de Servicios Administrativos la adecuación del vehiculo para que cumpla los lineamientos técnicos del Manual de Publicidad Exterior Visual.</t>
  </si>
  <si>
    <t>En caso de detectar un vehiculo que incumpla los lineamientos establecidos para la publicidad exterior visual</t>
  </si>
  <si>
    <t>Control N° 6: Se reportó que durante este periodo no se dio aplicación a la actividad de control.
Control de Fortalecimiento: No se formuló control de fortalecimiento.
Recomendacines: Se recomienda dar aplicación a los controles que cuentan con periodicidad definida, para mitigar el riesgo.
Materialización del Riesgo: No se reportó materialización del riesgo.</t>
  </si>
  <si>
    <t>area de impacto</t>
  </si>
  <si>
    <t>PROBABILIDAD DE OCURRENCIA</t>
  </si>
  <si>
    <t>IMPACTO</t>
  </si>
  <si>
    <t>CONDICIONES RIESGO INHERENTE</t>
  </si>
  <si>
    <t>AFECTACIÓN ECONÓMICA O PRESUPUESTAL</t>
  </si>
  <si>
    <t>MUY BAJA</t>
  </si>
  <si>
    <t>LEVE</t>
  </si>
  <si>
    <t>MUY BAJA - LEVE</t>
  </si>
  <si>
    <t>BAJO</t>
  </si>
  <si>
    <t>Afectación Menor a 700 SMLMV</t>
  </si>
  <si>
    <t>Leve</t>
  </si>
  <si>
    <t>Reputacional</t>
  </si>
  <si>
    <t>BAJA</t>
  </si>
  <si>
    <t>MENOR</t>
  </si>
  <si>
    <t>MUY BAJA - MENOR</t>
  </si>
  <si>
    <t>Afectación Entre 700 y 1500 SMLMV</t>
  </si>
  <si>
    <t>Menor</t>
  </si>
  <si>
    <t>Económico y Reputacional</t>
  </si>
  <si>
    <t>MEDIA</t>
  </si>
  <si>
    <t>MODERADO</t>
  </si>
  <si>
    <t>MUY BAJA - MODERADO</t>
  </si>
  <si>
    <t>Afectación Entre 1500 y 2300 SMLMV</t>
  </si>
  <si>
    <t>Moderado</t>
  </si>
  <si>
    <t>ALTA</t>
  </si>
  <si>
    <t>MAYOR</t>
  </si>
  <si>
    <t>MUY BAJA - MAYOR</t>
  </si>
  <si>
    <t>ALTO</t>
  </si>
  <si>
    <t>Afectación Entre 2300 y 3000 SMLMV</t>
  </si>
  <si>
    <t>Mayor</t>
  </si>
  <si>
    <t>MUY ALTA</t>
  </si>
  <si>
    <t>CATASTRÓFICO</t>
  </si>
  <si>
    <t>MUY BAJA - CATASTRÓFICO</t>
  </si>
  <si>
    <t>EXTREMO</t>
  </si>
  <si>
    <t>Catastrófico</t>
  </si>
  <si>
    <t>BAJA - LEVE</t>
  </si>
  <si>
    <t>BAJA - MENOR</t>
  </si>
  <si>
    <t>AFECTACIÓN REPUTACIONAL</t>
  </si>
  <si>
    <t>BAJA - MODERADO</t>
  </si>
  <si>
    <t>El riesgo afecta la imagen de algún área de la organización.</t>
  </si>
  <si>
    <t>BAJA - MAYOR</t>
  </si>
  <si>
    <t>El riesgo afecta la imagen de la entidad internamente, de conocimiento general nivel interno, de junta directiva y/o de proveedores</t>
  </si>
  <si>
    <t>BAJA - CATASTRÓFICO</t>
  </si>
  <si>
    <t>El riesgo afecta la imagen de la entidad con algunos usuarios de relevancia frente al logro de los objetivos.</t>
  </si>
  <si>
    <t>MEDIA - LEVE</t>
  </si>
  <si>
    <t>El riesgo afecta la imagen de la entidad con efecto publicitario sostenido a nivel de sector administrativo o distrital</t>
  </si>
  <si>
    <t>MEDIA - MENOR</t>
  </si>
  <si>
    <t>El riesgo afecta la imagen de la entidad a nivel nacional, con efecto publicitario sostenido a nivel país</t>
  </si>
  <si>
    <t>MEDIA - MODERADO</t>
  </si>
  <si>
    <t>MEDIA - MAYOR</t>
  </si>
  <si>
    <t>MEDIA - CATASTRÓFICO</t>
  </si>
  <si>
    <t>ALTA - LEVE</t>
  </si>
  <si>
    <t>TIPO DE CONTROL</t>
  </si>
  <si>
    <t>ALTA - MENOR</t>
  </si>
  <si>
    <t>ALTA - MODERADO</t>
  </si>
  <si>
    <t>ALTA - MAYOR</t>
  </si>
  <si>
    <t>ALTA - CATASTRÓFICO</t>
  </si>
  <si>
    <t>MUY ALTA - LEVE</t>
  </si>
  <si>
    <t>IMPLEMENTACIÓN</t>
  </si>
  <si>
    <t>MUY ALTA - MENOR</t>
  </si>
  <si>
    <t>Automático</t>
  </si>
  <si>
    <t>MUY ALTA - MODERADO</t>
  </si>
  <si>
    <t>MUY ALTA - MAYOR</t>
  </si>
  <si>
    <t>MUY ALTA -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</si>
</sst>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8">
    <font>
      <sz val="11"/>
      <color theme="1"/>
      <name val="Calibri"/>
      <family val="2"/>
      <scheme val="minor"/>
    </font>
    <font>
      <b/>
      <sz val="12"/>
      <color theme="1"/>
      <name val="Times New Roman"/>
      <family val="1"/>
    </font>
    <font>
      <sz val="12"/>
      <color theme="1"/>
      <name val="Times New Roman"/>
      <family val="1"/>
    </font>
    <font>
      <sz val="14"/>
      <color theme="1"/>
      <name val="Times New Roman"/>
      <family val="1"/>
    </font>
    <font>
      <b/>
      <sz val="10"/>
      <color theme="1"/>
      <name val="Times New Roman"/>
      <family val="1"/>
    </font>
    <font>
      <sz val="14"/>
      <name val="Times New Roman"/>
      <family val="1"/>
    </font>
    <font>
      <sz val="11"/>
      <color theme="1"/>
      <name val="Calibri"/>
      <family val="2"/>
      <scheme val="minor"/>
    </font>
    <font>
      <b/>
      <sz val="11"/>
      <color theme="1"/>
      <name val="Calibri"/>
      <family val="2"/>
      <scheme val="minor"/>
    </font>
    <font>
      <b/>
      <sz val="16"/>
      <color theme="1"/>
      <name val="Times New Roman"/>
      <family val="1"/>
    </font>
    <font>
      <sz val="12"/>
      <name val="Times New Roman"/>
      <family val="1"/>
    </font>
    <font>
      <b/>
      <sz val="18"/>
      <color theme="1"/>
      <name val="Times New Roman"/>
      <family val="1"/>
    </font>
    <font>
      <sz val="10"/>
      <color theme="1"/>
      <name val="Times New Roman"/>
      <family val="1"/>
    </font>
    <font>
      <b/>
      <sz val="14"/>
      <color theme="1"/>
      <name val="Times New Roman"/>
      <family val="1"/>
    </font>
    <font>
      <sz val="10"/>
      <color rgb="FF000000"/>
      <name val="Times New Roman"/>
      <family val="1"/>
    </font>
    <font>
      <sz val="12"/>
      <color rgb="FF000000"/>
      <name val="Times New Roman"/>
    </font>
    <font>
      <sz val="12"/>
      <color rgb="FFFF0000"/>
      <name val="Times New Roman"/>
      <family val="1"/>
    </font>
    <font>
      <sz val="11"/>
      <color theme="1"/>
      <name val="Times New Roman"/>
      <family val="1"/>
    </font>
    <font>
      <sz val="14"/>
      <color rgb="FFFF0000"/>
      <name val="Times New Roman"/>
      <family val="1"/>
    </font>
  </fonts>
  <fills count="6">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diagonal/>
    </border>
    <border>
      <left style="thin">
        <color rgb="FF000000"/>
      </left>
      <right style="thin">
        <color rgb="FF000000"/>
      </right>
      <top style="thin">
        <color rgb="FF000000"/>
      </top>
      <bottom/>
      <diagonal/>
    </border>
    <border>
      <left style="medium">
        <color indexed="64"/>
      </left>
      <right/>
      <top style="thin">
        <color indexed="64"/>
      </top>
      <bottom style="medium">
        <color indexed="64"/>
      </bottom>
      <diagonal/>
    </border>
    <border>
      <left style="medium">
        <color indexed="64"/>
      </left>
      <right style="thin">
        <color rgb="FF000000"/>
      </right>
      <top style="thin">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s>
  <cellStyleXfs count="2">
    <xf numFmtId="0" fontId="0" fillId="0" borderId="0"/>
    <xf numFmtId="41" fontId="6" fillId="0" borderId="0" applyFont="0" applyFill="0" applyBorder="0" applyAlignment="0" applyProtection="0"/>
  </cellStyleXfs>
  <cellXfs count="299">
    <xf numFmtId="0" fontId="0" fillId="0" borderId="0" xfId="0"/>
    <xf numFmtId="0" fontId="2" fillId="0" borderId="0" xfId="0" applyFont="1"/>
    <xf numFmtId="0" fontId="2" fillId="0" borderId="0" xfId="0" applyFont="1" applyAlignment="1">
      <alignment horizontal="left"/>
    </xf>
    <xf numFmtId="0" fontId="0" fillId="0" borderId="0" xfId="0" applyAlignment="1">
      <alignment horizontal="left"/>
    </xf>
    <xf numFmtId="0" fontId="2" fillId="0" borderId="0" xfId="0" applyFont="1" applyAlignment="1">
      <alignment wrapText="1"/>
    </xf>
    <xf numFmtId="0" fontId="0" fillId="0" borderId="0" xfId="0" applyAlignment="1">
      <alignment horizontal="center" vertical="center"/>
    </xf>
    <xf numFmtId="0" fontId="2" fillId="0" borderId="1" xfId="0" applyFont="1" applyBorder="1" applyAlignment="1">
      <alignment horizontal="center" vertical="center" textRotation="90"/>
    </xf>
    <xf numFmtId="0" fontId="1" fillId="0" borderId="0" xfId="0" applyFont="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textRotation="90" wrapText="1"/>
    </xf>
    <xf numFmtId="0" fontId="3" fillId="2" borderId="30" xfId="0" applyFont="1" applyFill="1" applyBorder="1" applyAlignment="1">
      <alignment horizontal="center" vertical="center" textRotation="90"/>
    </xf>
    <xf numFmtId="0" fontId="5"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2" fillId="2" borderId="31" xfId="0" applyFont="1" applyFill="1" applyBorder="1" applyAlignment="1">
      <alignment horizontal="center" vertical="center" textRotation="90" wrapText="1"/>
    </xf>
    <xf numFmtId="0" fontId="2" fillId="2" borderId="30" xfId="0" applyFont="1" applyFill="1" applyBorder="1" applyAlignment="1">
      <alignment horizontal="center" vertical="center" textRotation="90"/>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textRotation="90"/>
    </xf>
    <xf numFmtId="0" fontId="2" fillId="2" borderId="5" xfId="0" applyFont="1" applyFill="1" applyBorder="1" applyAlignment="1">
      <alignment horizontal="center" vertical="center" textRotation="90" wrapText="1"/>
    </xf>
    <xf numFmtId="0" fontId="2" fillId="2" borderId="30" xfId="0" applyFont="1" applyFill="1" applyBorder="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textRotation="90"/>
    </xf>
    <xf numFmtId="0" fontId="2" fillId="0" borderId="16" xfId="0" applyFont="1" applyBorder="1" applyAlignment="1">
      <alignment horizontal="center" vertical="center" textRotation="90" wrapText="1"/>
    </xf>
    <xf numFmtId="0" fontId="3" fillId="3" borderId="5" xfId="0" applyFont="1" applyFill="1" applyBorder="1" applyAlignment="1">
      <alignment horizontal="center" vertical="center" wrapText="1"/>
    </xf>
    <xf numFmtId="9" fontId="0" fillId="0" borderId="0" xfId="0" applyNumberFormat="1"/>
    <xf numFmtId="0" fontId="7" fillId="0" borderId="0" xfId="0" applyFont="1"/>
    <xf numFmtId="0" fontId="0" fillId="0" borderId="0" xfId="0" applyAlignment="1">
      <alignment wrapText="1"/>
    </xf>
    <xf numFmtId="9" fontId="0" fillId="0" borderId="0" xfId="0" applyNumberFormat="1" applyAlignment="1">
      <alignment horizontal="center"/>
    </xf>
    <xf numFmtId="0" fontId="1" fillId="0" borderId="0" xfId="0" applyFont="1" applyAlignment="1">
      <alignment horizontal="center" vertical="center"/>
    </xf>
    <xf numFmtId="0" fontId="2" fillId="0" borderId="0" xfId="0" applyFont="1" applyAlignment="1">
      <alignment horizontal="justify" vertical="center" wrapText="1"/>
    </xf>
    <xf numFmtId="0" fontId="2" fillId="2" borderId="23" xfId="0" applyFont="1" applyFill="1" applyBorder="1"/>
    <xf numFmtId="0" fontId="2" fillId="2" borderId="7" xfId="0" applyFont="1" applyFill="1" applyBorder="1"/>
    <xf numFmtId="0" fontId="2" fillId="0" borderId="10" xfId="0" applyFont="1" applyBorder="1" applyAlignment="1">
      <alignment horizontal="justify" vertical="center" wrapText="1"/>
    </xf>
    <xf numFmtId="0" fontId="1" fillId="2" borderId="5" xfId="0" applyFont="1" applyFill="1" applyBorder="1" applyAlignment="1">
      <alignment horizontal="center" vertical="center"/>
    </xf>
    <xf numFmtId="0" fontId="2" fillId="0" borderId="6" xfId="0" applyFont="1" applyBorder="1" applyAlignment="1">
      <alignment horizontal="center" vertical="center" textRotation="90"/>
    </xf>
    <xf numFmtId="0" fontId="2" fillId="0" borderId="6" xfId="0" applyFont="1" applyBorder="1" applyAlignment="1">
      <alignment horizontal="center" vertical="center" textRotation="90" wrapText="1"/>
    </xf>
    <xf numFmtId="0" fontId="2" fillId="0" borderId="21" xfId="0" applyFont="1" applyBorder="1" applyAlignment="1">
      <alignment horizontal="left"/>
    </xf>
    <xf numFmtId="0" fontId="2" fillId="0" borderId="10" xfId="0" applyFont="1" applyBorder="1" applyAlignment="1">
      <alignment horizontal="center" vertical="center" textRotation="90"/>
    </xf>
    <xf numFmtId="0" fontId="2" fillId="0" borderId="10" xfId="0" applyFont="1" applyBorder="1" applyAlignment="1">
      <alignment horizontal="center" vertical="center" textRotation="90" wrapText="1"/>
    </xf>
    <xf numFmtId="0" fontId="2" fillId="0" borderId="29" xfId="0" applyFont="1" applyBorder="1" applyAlignment="1">
      <alignment horizontal="left"/>
    </xf>
    <xf numFmtId="0" fontId="2" fillId="2" borderId="31" xfId="0" applyFont="1" applyFill="1" applyBorder="1" applyAlignment="1">
      <alignment horizontal="center" vertical="center" wrapText="1"/>
    </xf>
    <xf numFmtId="0" fontId="11" fillId="0" borderId="0" xfId="0" applyFont="1"/>
    <xf numFmtId="0" fontId="4" fillId="0" borderId="0" xfId="0" applyFont="1"/>
    <xf numFmtId="0" fontId="11" fillId="2" borderId="30"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0" borderId="30" xfId="0" applyFont="1" applyBorder="1" applyAlignment="1">
      <alignment horizontal="center" vertical="center"/>
    </xf>
    <xf numFmtId="0" fontId="2" fillId="0" borderId="5" xfId="0" applyFont="1" applyBorder="1" applyAlignment="1">
      <alignment horizontal="justify" vertical="center" wrapText="1"/>
    </xf>
    <xf numFmtId="0" fontId="2" fillId="0" borderId="5" xfId="0" applyFont="1" applyBorder="1" applyAlignment="1">
      <alignment horizontal="center" vertical="center" textRotation="90"/>
    </xf>
    <xf numFmtId="0" fontId="2" fillId="0" borderId="5" xfId="0" applyFont="1" applyBorder="1" applyAlignment="1">
      <alignment horizontal="center" vertical="center" textRotation="90" wrapText="1"/>
    </xf>
    <xf numFmtId="0" fontId="2" fillId="4" borderId="10"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6" xfId="0" applyFont="1" applyFill="1" applyBorder="1" applyAlignment="1">
      <alignment horizontal="center" vertical="center"/>
    </xf>
    <xf numFmtId="9" fontId="9" fillId="4" borderId="10" xfId="0" applyNumberFormat="1" applyFont="1" applyFill="1" applyBorder="1" applyAlignment="1">
      <alignment horizontal="center" vertical="center"/>
    </xf>
    <xf numFmtId="9" fontId="9" fillId="4" borderId="1" xfId="0" applyNumberFormat="1" applyFont="1" applyFill="1" applyBorder="1" applyAlignment="1">
      <alignment horizontal="center" vertical="center"/>
    </xf>
    <xf numFmtId="9" fontId="9" fillId="4" borderId="16" xfId="0" applyNumberFormat="1" applyFont="1" applyFill="1" applyBorder="1" applyAlignment="1">
      <alignment horizontal="center" vertical="center"/>
    </xf>
    <xf numFmtId="9" fontId="9" fillId="4" borderId="6" xfId="0" applyNumberFormat="1" applyFont="1" applyFill="1" applyBorder="1" applyAlignment="1">
      <alignment horizontal="center" vertical="center"/>
    </xf>
    <xf numFmtId="9" fontId="2" fillId="4" borderId="10" xfId="0" applyNumberFormat="1" applyFont="1" applyFill="1" applyBorder="1" applyAlignment="1">
      <alignment horizontal="center" vertical="center"/>
    </xf>
    <xf numFmtId="0" fontId="2" fillId="4" borderId="10" xfId="0" applyFont="1" applyFill="1" applyBorder="1" applyAlignment="1">
      <alignment horizontal="center" vertical="center" textRotation="90"/>
    </xf>
    <xf numFmtId="164" fontId="2" fillId="4" borderId="10" xfId="0" applyNumberFormat="1" applyFont="1" applyFill="1" applyBorder="1" applyAlignment="1">
      <alignment horizontal="center" vertical="center"/>
    </xf>
    <xf numFmtId="0" fontId="3" fillId="4" borderId="10" xfId="0" applyFont="1" applyFill="1" applyBorder="1" applyAlignment="1">
      <alignment horizontal="center" vertical="center" textRotation="90"/>
    </xf>
    <xf numFmtId="9" fontId="2" fillId="4" borderId="10" xfId="0" applyNumberFormat="1" applyFont="1" applyFill="1" applyBorder="1" applyAlignment="1">
      <alignment horizontal="center" vertical="center" textRotation="90"/>
    </xf>
    <xf numFmtId="9"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textRotation="90"/>
    </xf>
    <xf numFmtId="164" fontId="2" fillId="4" borderId="1" xfId="0" applyNumberFormat="1" applyFont="1" applyFill="1" applyBorder="1" applyAlignment="1">
      <alignment horizontal="center" vertical="center"/>
    </xf>
    <xf numFmtId="0" fontId="3" fillId="4" borderId="1" xfId="0" applyFont="1" applyFill="1" applyBorder="1" applyAlignment="1">
      <alignment horizontal="center" vertical="center" textRotation="90"/>
    </xf>
    <xf numFmtId="9" fontId="2" fillId="4" borderId="1" xfId="0" applyNumberFormat="1" applyFont="1" applyFill="1" applyBorder="1" applyAlignment="1">
      <alignment horizontal="center" vertical="center" textRotation="90"/>
    </xf>
    <xf numFmtId="9" fontId="2" fillId="4" borderId="16" xfId="0" applyNumberFormat="1" applyFont="1" applyFill="1" applyBorder="1" applyAlignment="1">
      <alignment horizontal="center" vertical="center"/>
    </xf>
    <xf numFmtId="0" fontId="2" fillId="4" borderId="16" xfId="0" applyFont="1" applyFill="1" applyBorder="1" applyAlignment="1">
      <alignment horizontal="center" vertical="center" textRotation="90"/>
    </xf>
    <xf numFmtId="164" fontId="2" fillId="4" borderId="16" xfId="0" applyNumberFormat="1" applyFont="1" applyFill="1" applyBorder="1" applyAlignment="1">
      <alignment horizontal="center" vertical="center"/>
    </xf>
    <xf numFmtId="0" fontId="3" fillId="4" borderId="16" xfId="0" applyFont="1" applyFill="1" applyBorder="1" applyAlignment="1">
      <alignment horizontal="center" vertical="center" textRotation="90"/>
    </xf>
    <xf numFmtId="9" fontId="2" fillId="4" borderId="16" xfId="0" applyNumberFormat="1" applyFont="1" applyFill="1" applyBorder="1" applyAlignment="1">
      <alignment horizontal="center" vertical="center" textRotation="90"/>
    </xf>
    <xf numFmtId="9" fontId="2" fillId="4" borderId="6" xfId="0" applyNumberFormat="1" applyFont="1" applyFill="1" applyBorder="1" applyAlignment="1">
      <alignment horizontal="center" vertical="center"/>
    </xf>
    <xf numFmtId="0" fontId="2" fillId="4" borderId="6" xfId="0" applyFont="1" applyFill="1" applyBorder="1" applyAlignment="1">
      <alignment horizontal="center" vertical="center" textRotation="90"/>
    </xf>
    <xf numFmtId="164" fontId="2" fillId="4" borderId="6" xfId="0" applyNumberFormat="1" applyFont="1" applyFill="1" applyBorder="1" applyAlignment="1">
      <alignment horizontal="center" vertical="center"/>
    </xf>
    <xf numFmtId="0" fontId="3" fillId="4" borderId="6" xfId="0" applyFont="1" applyFill="1" applyBorder="1" applyAlignment="1">
      <alignment horizontal="center" vertical="center" textRotation="90"/>
    </xf>
    <xf numFmtId="9" fontId="2" fillId="4" borderId="6" xfId="0" applyNumberFormat="1" applyFont="1" applyFill="1" applyBorder="1" applyAlignment="1">
      <alignment horizontal="center" vertical="center" textRotation="90"/>
    </xf>
    <xf numFmtId="0" fontId="2" fillId="4" borderId="10" xfId="0" applyFont="1" applyFill="1" applyBorder="1" applyAlignment="1">
      <alignment vertical="center" textRotation="90"/>
    </xf>
    <xf numFmtId="0" fontId="2" fillId="4" borderId="1" xfId="0" applyFont="1" applyFill="1" applyBorder="1" applyAlignment="1">
      <alignment vertical="center" textRotation="90"/>
    </xf>
    <xf numFmtId="0" fontId="2" fillId="4" borderId="6" xfId="0" applyFont="1" applyFill="1" applyBorder="1" applyAlignment="1">
      <alignment vertical="center" textRotation="90"/>
    </xf>
    <xf numFmtId="0" fontId="0" fillId="0" borderId="29" xfId="0" applyBorder="1"/>
    <xf numFmtId="0" fontId="11" fillId="0" borderId="29" xfId="0" applyFont="1" applyBorder="1"/>
    <xf numFmtId="9" fontId="2" fillId="4" borderId="5" xfId="0" applyNumberFormat="1" applyFont="1" applyFill="1" applyBorder="1" applyAlignment="1">
      <alignment horizontal="center" vertical="center" textRotation="90"/>
    </xf>
    <xf numFmtId="0" fontId="2" fillId="0" borderId="23" xfId="0" applyFont="1" applyBorder="1" applyAlignment="1">
      <alignment horizontal="center" vertical="center"/>
    </xf>
    <xf numFmtId="0" fontId="2" fillId="0" borderId="41" xfId="0" applyFont="1" applyBorder="1" applyAlignment="1">
      <alignment horizontal="center" vertical="center"/>
    </xf>
    <xf numFmtId="0" fontId="2" fillId="4" borderId="5" xfId="0" applyFont="1" applyFill="1" applyBorder="1" applyAlignment="1">
      <alignment horizontal="center" vertical="center"/>
    </xf>
    <xf numFmtId="9" fontId="9" fillId="4" borderId="5" xfId="0" applyNumberFormat="1" applyFont="1" applyFill="1" applyBorder="1" applyAlignment="1">
      <alignment horizontal="center" vertical="center"/>
    </xf>
    <xf numFmtId="9" fontId="2" fillId="4" borderId="5" xfId="0" applyNumberFormat="1" applyFont="1" applyFill="1" applyBorder="1" applyAlignment="1">
      <alignment horizontal="center" vertical="center"/>
    </xf>
    <xf numFmtId="0" fontId="12" fillId="4" borderId="5" xfId="0" applyFont="1" applyFill="1" applyBorder="1" applyAlignment="1">
      <alignment horizontal="center" vertical="center" textRotation="90"/>
    </xf>
    <xf numFmtId="0" fontId="1" fillId="4" borderId="5" xfId="0" applyFont="1" applyFill="1" applyBorder="1" applyAlignment="1">
      <alignment vertical="center" textRotation="90"/>
    </xf>
    <xf numFmtId="0" fontId="2" fillId="0" borderId="18" xfId="0" applyFont="1" applyBorder="1" applyAlignment="1">
      <alignment horizontal="justify" vertical="center" wrapText="1"/>
    </xf>
    <xf numFmtId="0" fontId="2" fillId="4" borderId="19" xfId="0" applyFont="1" applyFill="1" applyBorder="1" applyAlignment="1">
      <alignment vertical="center" textRotation="90"/>
    </xf>
    <xf numFmtId="0" fontId="2" fillId="0" borderId="13" xfId="0" applyFont="1" applyBorder="1" applyAlignment="1">
      <alignment horizontal="justify" vertical="center" wrapText="1"/>
    </xf>
    <xf numFmtId="0" fontId="2" fillId="4" borderId="14" xfId="0" applyFont="1" applyFill="1" applyBorder="1" applyAlignment="1">
      <alignment vertical="center" textRotation="90"/>
    </xf>
    <xf numFmtId="0" fontId="2" fillId="4" borderId="17" xfId="0" applyFont="1" applyFill="1" applyBorder="1" applyAlignment="1">
      <alignment vertical="center" textRotation="90"/>
    </xf>
    <xf numFmtId="9" fontId="2" fillId="4" borderId="45" xfId="0" applyNumberFormat="1" applyFont="1" applyFill="1" applyBorder="1" applyAlignment="1">
      <alignment horizontal="center" vertical="center"/>
    </xf>
    <xf numFmtId="0" fontId="2" fillId="4" borderId="5" xfId="0" applyFont="1" applyFill="1" applyBorder="1" applyAlignment="1">
      <alignment horizontal="center" vertical="center" textRotation="90"/>
    </xf>
    <xf numFmtId="0" fontId="2" fillId="0" borderId="16" xfId="0" applyFont="1" applyBorder="1" applyAlignment="1">
      <alignment horizontal="justify" vertical="center" wrapText="1"/>
    </xf>
    <xf numFmtId="0" fontId="11" fillId="0" borderId="21" xfId="0" applyFont="1" applyBorder="1"/>
    <xf numFmtId="0" fontId="9" fillId="0" borderId="10" xfId="0" applyFont="1" applyBorder="1" applyAlignment="1">
      <alignment horizontal="center" vertical="center" textRotation="90" wrapText="1"/>
    </xf>
    <xf numFmtId="0" fontId="9" fillId="0" borderId="1" xfId="0" applyFont="1" applyBorder="1" applyAlignment="1">
      <alignment horizontal="justify" vertical="center" wrapText="1"/>
    </xf>
    <xf numFmtId="0" fontId="9" fillId="0" borderId="5" xfId="0" applyFont="1" applyBorder="1" applyAlignment="1">
      <alignment horizontal="justify" vertical="center" wrapText="1"/>
    </xf>
    <xf numFmtId="0" fontId="2" fillId="0" borderId="9" xfId="0" applyFont="1" applyBorder="1" applyAlignment="1">
      <alignment horizontal="center" vertical="center" textRotation="90" wrapText="1"/>
    </xf>
    <xf numFmtId="164" fontId="16" fillId="4" borderId="10" xfId="0" applyNumberFormat="1" applyFont="1" applyFill="1" applyBorder="1" applyAlignment="1">
      <alignment horizontal="center" vertical="center"/>
    </xf>
    <xf numFmtId="164" fontId="16" fillId="4" borderId="1" xfId="0" applyNumberFormat="1" applyFont="1" applyFill="1" applyBorder="1" applyAlignment="1">
      <alignment horizontal="center" vertical="center"/>
    </xf>
    <xf numFmtId="164" fontId="16" fillId="4" borderId="46" xfId="0" applyNumberFormat="1" applyFont="1" applyFill="1" applyBorder="1" applyAlignment="1">
      <alignment horizontal="center" vertical="center"/>
    </xf>
    <xf numFmtId="0" fontId="2" fillId="0" borderId="27" xfId="0" applyFont="1" applyBorder="1" applyAlignment="1">
      <alignment horizontal="center" vertical="center"/>
    </xf>
    <xf numFmtId="0" fontId="3" fillId="4" borderId="5" xfId="0" applyFont="1" applyFill="1" applyBorder="1" applyAlignment="1">
      <alignment horizontal="center" vertical="center" textRotation="90"/>
    </xf>
    <xf numFmtId="0" fontId="2" fillId="4" borderId="5" xfId="0" applyFont="1" applyFill="1" applyBorder="1" applyAlignment="1">
      <alignment vertical="center" textRotation="90"/>
    </xf>
    <xf numFmtId="0" fontId="15" fillId="5" borderId="5" xfId="0" applyFont="1" applyFill="1" applyBorder="1" applyAlignment="1">
      <alignment horizontal="center" vertical="center" textRotation="90" wrapText="1"/>
    </xf>
    <xf numFmtId="0" fontId="2" fillId="0" borderId="15" xfId="0" applyFont="1" applyBorder="1" applyAlignment="1">
      <alignment horizontal="justify" vertical="top" wrapText="1"/>
    </xf>
    <xf numFmtId="0" fontId="2" fillId="0" borderId="35" xfId="0" applyFont="1" applyBorder="1" applyAlignment="1">
      <alignment horizontal="center" vertical="center"/>
    </xf>
    <xf numFmtId="0" fontId="15" fillId="0" borderId="21" xfId="0" applyFont="1" applyBorder="1" applyAlignment="1">
      <alignment vertical="center" wrapText="1"/>
    </xf>
    <xf numFmtId="41" fontId="15" fillId="0" borderId="21" xfId="1" applyFont="1" applyBorder="1" applyAlignment="1">
      <alignment vertical="center" wrapText="1"/>
    </xf>
    <xf numFmtId="0" fontId="2" fillId="4" borderId="16" xfId="0" applyFont="1" applyFill="1" applyBorder="1" applyAlignment="1">
      <alignment vertical="center" textRotation="90"/>
    </xf>
    <xf numFmtId="0" fontId="2" fillId="0" borderId="52" xfId="0" applyFont="1" applyBorder="1" applyAlignment="1">
      <alignment horizontal="center" vertical="center"/>
    </xf>
    <xf numFmtId="0" fontId="2" fillId="0" borderId="54" xfId="0" applyFont="1" applyBorder="1" applyAlignment="1">
      <alignment horizontal="center" vertical="center"/>
    </xf>
    <xf numFmtId="164" fontId="2" fillId="4" borderId="5" xfId="0" applyNumberFormat="1" applyFont="1" applyFill="1" applyBorder="1" applyAlignment="1">
      <alignment horizontal="center" vertical="center"/>
    </xf>
    <xf numFmtId="0" fontId="2" fillId="0" borderId="36" xfId="0" applyFont="1" applyBorder="1" applyAlignment="1">
      <alignment horizontal="justify" vertical="center" wrapText="1"/>
    </xf>
    <xf numFmtId="0" fontId="9" fillId="0" borderId="30" xfId="0" applyFont="1" applyBorder="1" applyAlignment="1">
      <alignment horizontal="justify" vertical="center" wrapText="1"/>
    </xf>
    <xf numFmtId="0" fontId="2" fillId="0" borderId="33" xfId="0" applyFont="1" applyBorder="1" applyAlignment="1">
      <alignment horizontal="center" vertical="center" textRotation="90" wrapText="1"/>
    </xf>
    <xf numFmtId="0" fontId="2" fillId="0" borderId="43" xfId="0" applyFont="1" applyBorder="1" applyAlignment="1">
      <alignment horizontal="center" vertical="center"/>
    </xf>
    <xf numFmtId="0" fontId="9" fillId="0" borderId="36" xfId="0" applyFont="1" applyBorder="1" applyAlignment="1">
      <alignment horizontal="justify" vertical="center" wrapText="1"/>
    </xf>
    <xf numFmtId="0" fontId="9" fillId="0" borderId="37" xfId="0" applyFont="1" applyBorder="1" applyAlignment="1">
      <alignment horizontal="justify" vertical="center" wrapText="1"/>
    </xf>
    <xf numFmtId="0" fontId="9" fillId="0" borderId="5" xfId="0" applyFont="1" applyBorder="1" applyAlignment="1">
      <alignment horizontal="center" vertical="center" textRotation="90" wrapText="1"/>
    </xf>
    <xf numFmtId="0" fontId="9" fillId="0" borderId="6" xfId="0" applyFont="1" applyBorder="1" applyAlignment="1">
      <alignment horizontal="justify" vertical="center" wrapText="1"/>
    </xf>
    <xf numFmtId="0" fontId="9" fillId="0" borderId="9" xfId="0" applyFont="1" applyBorder="1" applyAlignment="1">
      <alignment horizontal="justify" vertical="center" wrapText="1"/>
    </xf>
    <xf numFmtId="0" fontId="13" fillId="0" borderId="51" xfId="0" applyFont="1" applyBorder="1" applyAlignment="1" applyProtection="1">
      <alignment vertical="center" wrapText="1"/>
      <protection locked="0"/>
    </xf>
    <xf numFmtId="0" fontId="11" fillId="0" borderId="51" xfId="0" applyFont="1" applyBorder="1" applyAlignment="1" applyProtection="1">
      <alignment vertical="center" wrapText="1"/>
      <protection locked="0"/>
    </xf>
    <xf numFmtId="0" fontId="11" fillId="0" borderId="53" xfId="0" applyFont="1" applyBorder="1" applyAlignment="1" applyProtection="1">
      <alignment vertical="center" wrapText="1"/>
      <protection locked="0"/>
    </xf>
    <xf numFmtId="0" fontId="11" fillId="0" borderId="51" xfId="0" applyFont="1" applyBorder="1" applyAlignment="1">
      <alignment vertical="center" wrapText="1"/>
    </xf>
    <xf numFmtId="0" fontId="11" fillId="0" borderId="59" xfId="0" applyFont="1" applyBorder="1" applyAlignment="1">
      <alignment vertical="center" wrapText="1"/>
    </xf>
    <xf numFmtId="0" fontId="11" fillId="0" borderId="53" xfId="0" applyFont="1" applyBorder="1" applyAlignment="1">
      <alignment vertical="center" wrapText="1"/>
    </xf>
    <xf numFmtId="0" fontId="11" fillId="0" borderId="59" xfId="0" applyFont="1" applyBorder="1" applyAlignment="1" applyProtection="1">
      <alignment vertical="center" wrapText="1"/>
      <protection locked="0"/>
    </xf>
    <xf numFmtId="41" fontId="3" fillId="0" borderId="9" xfId="1" applyFont="1" applyBorder="1" applyAlignment="1">
      <alignment horizontal="center" vertical="center" wrapText="1"/>
    </xf>
    <xf numFmtId="41" fontId="3" fillId="0" borderId="32" xfId="1" applyFont="1" applyBorder="1" applyAlignment="1">
      <alignment horizontal="center" vertical="center" wrapText="1"/>
    </xf>
    <xf numFmtId="41" fontId="3" fillId="0" borderId="33" xfId="1" applyFont="1" applyBorder="1" applyAlignment="1">
      <alignment horizontal="center" vertical="center" wrapText="1"/>
    </xf>
    <xf numFmtId="0" fontId="10" fillId="4" borderId="9" xfId="0" applyFont="1" applyFill="1" applyBorder="1" applyAlignment="1">
      <alignment horizontal="center" vertical="center" textRotation="90"/>
    </xf>
    <xf numFmtId="0" fontId="10" fillId="4" borderId="32" xfId="0" applyFont="1" applyFill="1" applyBorder="1" applyAlignment="1">
      <alignment horizontal="center" vertical="center" textRotation="90"/>
    </xf>
    <xf numFmtId="0" fontId="10" fillId="4" borderId="33" xfId="0" applyFont="1" applyFill="1" applyBorder="1" applyAlignment="1">
      <alignment horizontal="center" vertical="center" textRotation="90"/>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2" fillId="2" borderId="6" xfId="0" applyFont="1" applyFill="1" applyBorder="1" applyAlignment="1">
      <alignment horizontal="center"/>
    </xf>
    <xf numFmtId="0" fontId="2" fillId="2" borderId="12" xfId="0" applyFont="1" applyFill="1" applyBorder="1" applyAlignment="1">
      <alignment horizontal="center"/>
    </xf>
    <xf numFmtId="0" fontId="1" fillId="2" borderId="1" xfId="0" applyFont="1" applyFill="1" applyBorder="1" applyAlignment="1">
      <alignment horizontal="center"/>
    </xf>
    <xf numFmtId="9" fontId="3" fillId="4" borderId="10" xfId="0" applyNumberFormat="1" applyFont="1" applyFill="1" applyBorder="1" applyAlignment="1">
      <alignment horizontal="center" vertical="center"/>
    </xf>
    <xf numFmtId="9" fontId="3" fillId="4" borderId="1" xfId="0" applyNumberFormat="1" applyFont="1" applyFill="1" applyBorder="1" applyAlignment="1">
      <alignment horizontal="center" vertical="center"/>
    </xf>
    <xf numFmtId="9" fontId="3" fillId="4" borderId="5" xfId="0" applyNumberFormat="1" applyFont="1" applyFill="1" applyBorder="1" applyAlignment="1">
      <alignment horizontal="center" vertical="center"/>
    </xf>
    <xf numFmtId="9" fontId="3" fillId="4" borderId="16" xfId="0" applyNumberFormat="1" applyFont="1" applyFill="1" applyBorder="1" applyAlignment="1">
      <alignment horizontal="center" vertical="center"/>
    </xf>
    <xf numFmtId="0" fontId="3" fillId="3" borderId="1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13" fillId="5" borderId="49" xfId="0" applyFont="1" applyFill="1" applyBorder="1" applyAlignment="1">
      <alignment vertical="top" wrapText="1"/>
    </xf>
    <xf numFmtId="0" fontId="13" fillId="5" borderId="47" xfId="0" applyFont="1" applyFill="1" applyBorder="1" applyAlignment="1">
      <alignment vertical="top" wrapText="1"/>
    </xf>
    <xf numFmtId="0" fontId="13" fillId="5" borderId="50" xfId="0" applyFont="1" applyFill="1" applyBorder="1" applyAlignment="1">
      <alignment vertical="top" wrapText="1"/>
    </xf>
    <xf numFmtId="0" fontId="13" fillId="0" borderId="20"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3" fillId="0" borderId="18" xfId="0" applyFont="1" applyBorder="1" applyAlignment="1">
      <alignment horizontal="center" vertical="center"/>
    </xf>
    <xf numFmtId="0" fontId="3" fillId="0" borderId="35"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3" fillId="0" borderId="32"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6" xfId="0" applyFont="1" applyBorder="1" applyAlignment="1">
      <alignment horizontal="center" vertical="center" wrapText="1"/>
    </xf>
    <xf numFmtId="0" fontId="3" fillId="3" borderId="32" xfId="0" applyFont="1" applyFill="1" applyBorder="1" applyAlignment="1">
      <alignment horizontal="center" vertical="center" wrapText="1"/>
    </xf>
    <xf numFmtId="0" fontId="3" fillId="4" borderId="10"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16" xfId="0" applyFont="1" applyFill="1" applyBorder="1" applyAlignment="1">
      <alignment horizontal="center" vertical="center"/>
    </xf>
    <xf numFmtId="9" fontId="3" fillId="4" borderId="32" xfId="0" applyNumberFormat="1" applyFont="1" applyFill="1" applyBorder="1" applyAlignment="1">
      <alignment horizontal="center" vertical="center"/>
    </xf>
    <xf numFmtId="0" fontId="13" fillId="5" borderId="8" xfId="0" applyFont="1" applyFill="1" applyBorder="1" applyAlignment="1">
      <alignment vertical="top" wrapText="1"/>
    </xf>
    <xf numFmtId="0" fontId="13" fillId="5" borderId="35" xfId="0" applyFont="1" applyFill="1" applyBorder="1" applyAlignment="1">
      <alignment vertical="top" wrapText="1"/>
    </xf>
    <xf numFmtId="0" fontId="13" fillId="5" borderId="48" xfId="0" applyFont="1" applyFill="1" applyBorder="1" applyAlignment="1">
      <alignment vertical="top" wrapText="1"/>
    </xf>
    <xf numFmtId="0" fontId="1" fillId="0" borderId="12" xfId="0" applyFont="1" applyBorder="1" applyAlignment="1">
      <alignment horizontal="center" vertical="center" textRotation="90"/>
    </xf>
    <xf numFmtId="0" fontId="1" fillId="0" borderId="31" xfId="0" applyFont="1" applyBorder="1" applyAlignment="1">
      <alignment horizontal="center" vertical="center" textRotation="90"/>
    </xf>
    <xf numFmtId="14" fontId="11" fillId="5" borderId="35" xfId="0" applyNumberFormat="1" applyFont="1" applyFill="1" applyBorder="1" applyAlignment="1" applyProtection="1">
      <alignment horizontal="center" vertical="center"/>
      <protection locked="0"/>
    </xf>
    <xf numFmtId="14" fontId="11" fillId="5" borderId="37" xfId="0" applyNumberFormat="1" applyFont="1" applyFill="1" applyBorder="1" applyAlignment="1" applyProtection="1">
      <alignment horizontal="center" vertical="center"/>
      <protection locked="0"/>
    </xf>
    <xf numFmtId="9" fontId="3" fillId="0" borderId="9" xfId="0" applyNumberFormat="1" applyFont="1" applyBorder="1" applyAlignment="1">
      <alignment horizontal="center" vertical="center" wrapText="1"/>
    </xf>
    <xf numFmtId="9" fontId="3" fillId="0" borderId="32" xfId="0" applyNumberFormat="1" applyFont="1" applyBorder="1" applyAlignment="1">
      <alignment horizontal="center" vertical="center" wrapText="1"/>
    </xf>
    <xf numFmtId="9" fontId="3" fillId="0" borderId="33" xfId="0" applyNumberFormat="1" applyFont="1" applyBorder="1" applyAlignment="1">
      <alignment horizontal="center" vertical="center" wrapText="1"/>
    </xf>
    <xf numFmtId="0" fontId="0" fillId="0" borderId="58" xfId="0" applyBorder="1" applyAlignment="1">
      <alignment horizontal="center" vertical="center" wrapText="1"/>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5"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0" xfId="0" applyFont="1" applyAlignment="1">
      <alignment horizontal="center" vertical="center" wrapText="1"/>
    </xf>
    <xf numFmtId="0" fontId="8" fillId="0" borderId="26"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5" xfId="0" applyFont="1" applyBorder="1" applyAlignment="1">
      <alignment horizontal="center" vertical="center" wrapText="1"/>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24" xfId="0" applyFont="1" applyFill="1" applyBorder="1" applyAlignment="1">
      <alignment horizontal="center" vertical="center"/>
    </xf>
    <xf numFmtId="0" fontId="9" fillId="0" borderId="8"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7" xfId="0" applyFont="1" applyBorder="1" applyAlignment="1">
      <alignment horizontal="center" vertical="center" wrapText="1"/>
    </xf>
    <xf numFmtId="41" fontId="9" fillId="0" borderId="9" xfId="1" applyFont="1" applyBorder="1" applyAlignment="1">
      <alignment horizontal="center" vertical="center" wrapText="1"/>
    </xf>
    <xf numFmtId="41" fontId="9" fillId="0" borderId="32" xfId="1" applyFont="1" applyBorder="1" applyAlignment="1">
      <alignment horizontal="center" vertical="center" wrapText="1"/>
    </xf>
    <xf numFmtId="41" fontId="9" fillId="0" borderId="33" xfId="1" applyFont="1" applyBorder="1" applyAlignment="1">
      <alignment horizontal="center" vertical="center" wrapText="1"/>
    </xf>
    <xf numFmtId="14" fontId="9" fillId="0" borderId="11" xfId="1" applyNumberFormat="1" applyFont="1" applyBorder="1" applyAlignment="1">
      <alignment horizontal="center" vertical="center" wrapText="1"/>
    </xf>
    <xf numFmtId="41" fontId="9" fillId="0" borderId="38" xfId="1" applyFont="1" applyBorder="1" applyAlignment="1">
      <alignment horizontal="center" vertical="center" wrapText="1"/>
    </xf>
    <xf numFmtId="41" fontId="9" fillId="0" borderId="39" xfId="1" applyFont="1" applyBorder="1" applyAlignment="1">
      <alignment horizontal="center" vertical="center" wrapText="1"/>
    </xf>
    <xf numFmtId="9" fontId="3" fillId="4" borderId="9" xfId="0" applyNumberFormat="1" applyFont="1" applyFill="1" applyBorder="1" applyAlignment="1">
      <alignment horizontal="center" vertical="center"/>
    </xf>
    <xf numFmtId="9" fontId="3" fillId="4" borderId="33" xfId="0" applyNumberFormat="1" applyFont="1" applyFill="1" applyBorder="1" applyAlignment="1">
      <alignment horizontal="center" vertical="center"/>
    </xf>
    <xf numFmtId="0" fontId="1" fillId="0" borderId="19" xfId="0" applyFont="1" applyBorder="1" applyAlignment="1">
      <alignment horizontal="center" vertical="center" textRotation="90"/>
    </xf>
    <xf numFmtId="0" fontId="1" fillId="0" borderId="14" xfId="0" applyFont="1" applyBorder="1" applyAlignment="1">
      <alignment horizontal="center" vertical="center" textRotation="90"/>
    </xf>
    <xf numFmtId="0" fontId="1" fillId="0" borderId="17" xfId="0" applyFont="1" applyBorder="1" applyAlignment="1">
      <alignment horizontal="center" vertical="center" textRotation="90"/>
    </xf>
    <xf numFmtId="0" fontId="1" fillId="2" borderId="1"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14" fontId="11" fillId="5" borderId="30" xfId="0" applyNumberFormat="1" applyFont="1" applyFill="1" applyBorder="1" applyAlignment="1" applyProtection="1">
      <alignment horizontal="center" vertical="center"/>
      <protection locked="0"/>
    </xf>
    <xf numFmtId="0" fontId="11" fillId="5" borderId="35" xfId="0" applyFont="1" applyFill="1" applyBorder="1" applyAlignment="1" applyProtection="1">
      <alignment horizontal="center" vertical="center"/>
      <protection locked="0"/>
    </xf>
    <xf numFmtId="0" fontId="11" fillId="5" borderId="30" xfId="0" applyFont="1" applyFill="1" applyBorder="1" applyAlignment="1" applyProtection="1">
      <alignment horizontal="left" vertical="top" wrapText="1"/>
      <protection locked="0"/>
    </xf>
    <xf numFmtId="0" fontId="11" fillId="5" borderId="35" xfId="0" applyFont="1" applyFill="1" applyBorder="1" applyAlignment="1" applyProtection="1">
      <alignment horizontal="left" vertical="top" wrapText="1"/>
      <protection locked="0"/>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1" fillId="2" borderId="1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3" fillId="5" borderId="10"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16"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5" xfId="0" applyFont="1" applyFill="1" applyBorder="1" applyAlignment="1">
      <alignment horizontal="center" vertical="center"/>
    </xf>
    <xf numFmtId="0" fontId="9" fillId="0" borderId="9"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3" xfId="0" applyFont="1" applyBorder="1" applyAlignment="1">
      <alignment horizontal="center" vertical="center" wrapText="1"/>
    </xf>
    <xf numFmtId="14" fontId="9" fillId="0" borderId="11" xfId="0" applyNumberFormat="1" applyFont="1" applyBorder="1" applyAlignment="1">
      <alignment horizontal="center" vertical="center" wrapText="1"/>
    </xf>
    <xf numFmtId="14" fontId="9" fillId="0" borderId="38" xfId="0" applyNumberFormat="1" applyFont="1" applyBorder="1" applyAlignment="1">
      <alignment horizontal="center" vertical="center" wrapText="1"/>
    </xf>
    <xf numFmtId="14" fontId="9" fillId="0" borderId="39" xfId="0" applyNumberFormat="1" applyFont="1" applyBorder="1" applyAlignment="1">
      <alignment horizontal="center" vertical="center" wrapText="1"/>
    </xf>
    <xf numFmtId="0" fontId="1" fillId="0" borderId="42" xfId="0" applyFont="1" applyBorder="1" applyAlignment="1">
      <alignment horizontal="center" vertical="center" textRotation="90"/>
    </xf>
    <xf numFmtId="0" fontId="1" fillId="0" borderId="43" xfId="0" applyFont="1" applyBorder="1" applyAlignment="1">
      <alignment horizontal="center" vertical="center" textRotation="90"/>
    </xf>
    <xf numFmtId="0" fontId="1" fillId="0" borderId="44" xfId="0" applyFont="1" applyBorder="1" applyAlignment="1">
      <alignment horizontal="center" vertical="center" textRotation="90"/>
    </xf>
    <xf numFmtId="0" fontId="3" fillId="4" borderId="6" xfId="0" applyFont="1" applyFill="1" applyBorder="1" applyAlignment="1">
      <alignment horizontal="center" vertical="center"/>
    </xf>
    <xf numFmtId="9" fontId="3" fillId="4" borderId="6" xfId="0" applyNumberFormat="1" applyFont="1" applyFill="1" applyBorder="1" applyAlignment="1">
      <alignment horizontal="center" vertical="center"/>
    </xf>
    <xf numFmtId="0" fontId="11" fillId="5" borderId="30" xfId="0" applyFont="1" applyFill="1" applyBorder="1" applyAlignment="1" applyProtection="1">
      <alignment horizontal="center" vertical="top" wrapText="1"/>
      <protection locked="0"/>
    </xf>
    <xf numFmtId="0" fontId="11" fillId="5" borderId="35" xfId="0" applyFont="1" applyFill="1" applyBorder="1" applyAlignment="1" applyProtection="1">
      <alignment horizontal="center" vertical="top" wrapText="1"/>
      <protection locked="0"/>
    </xf>
    <xf numFmtId="0" fontId="1" fillId="0" borderId="20" xfId="0" applyFont="1" applyBorder="1" applyAlignment="1">
      <alignment horizontal="center" vertical="center"/>
    </xf>
    <xf numFmtId="0" fontId="1" fillId="0" borderId="22" xfId="0" applyFont="1" applyBorder="1" applyAlignment="1">
      <alignment horizontal="center" vertical="center"/>
    </xf>
    <xf numFmtId="0" fontId="1" fillId="0" borderId="28" xfId="0" applyFont="1" applyBorder="1" applyAlignment="1">
      <alignment horizontal="center" vertical="center"/>
    </xf>
    <xf numFmtId="0" fontId="1" fillId="0" borderId="25" xfId="0" applyFont="1" applyBorder="1" applyAlignment="1">
      <alignment horizontal="center" vertical="center"/>
    </xf>
    <xf numFmtId="49" fontId="4" fillId="0" borderId="20"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14" fontId="1" fillId="0" borderId="20" xfId="0" applyNumberFormat="1" applyFont="1" applyBorder="1" applyAlignment="1">
      <alignment horizontal="center" vertical="center"/>
    </xf>
    <xf numFmtId="0" fontId="13" fillId="0" borderId="55" xfId="0" applyFont="1" applyBorder="1" applyAlignment="1" applyProtection="1">
      <alignment horizontal="center" vertical="center" wrapText="1"/>
      <protection locked="0"/>
    </xf>
    <xf numFmtId="0" fontId="13" fillId="0" borderId="56" xfId="0" applyFont="1" applyBorder="1" applyAlignment="1" applyProtection="1">
      <alignment horizontal="center" vertical="center" wrapText="1"/>
      <protection locked="0"/>
    </xf>
    <xf numFmtId="0" fontId="13" fillId="0" borderId="57" xfId="0" applyFont="1" applyBorder="1" applyAlignment="1" applyProtection="1">
      <alignment horizontal="center" vertical="center" wrapText="1"/>
      <protection locked="0"/>
    </xf>
    <xf numFmtId="0" fontId="11" fillId="5" borderId="35" xfId="0" applyFont="1" applyFill="1" applyBorder="1" applyAlignment="1" applyProtection="1">
      <alignment horizontal="center" vertical="top"/>
      <protection locked="0"/>
    </xf>
    <xf numFmtId="14" fontId="11" fillId="5" borderId="8"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30" xfId="0" applyFont="1" applyBorder="1" applyAlignment="1">
      <alignment horizontal="center" vertical="center"/>
    </xf>
    <xf numFmtId="0" fontId="3" fillId="0" borderId="36"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3" fillId="3" borderId="6"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17" fillId="5" borderId="10" xfId="0" applyFont="1" applyFill="1" applyBorder="1" applyAlignment="1">
      <alignment horizontal="center" vertical="center"/>
    </xf>
    <xf numFmtId="0" fontId="17" fillId="5" borderId="32" xfId="0" applyFont="1" applyFill="1" applyBorder="1" applyAlignment="1">
      <alignment horizontal="center" vertical="center"/>
    </xf>
    <xf numFmtId="0" fontId="17" fillId="5" borderId="16" xfId="0" applyFont="1" applyFill="1" applyBorder="1" applyAlignment="1">
      <alignment horizontal="center" vertical="center"/>
    </xf>
    <xf numFmtId="0" fontId="13" fillId="5" borderId="35" xfId="0" applyFont="1" applyFill="1" applyBorder="1" applyAlignment="1">
      <alignment vertical="center" wrapText="1"/>
    </xf>
    <xf numFmtId="0" fontId="13" fillId="5" borderId="48" xfId="0" applyFont="1" applyFill="1" applyBorder="1" applyAlignment="1">
      <alignment vertical="center" wrapText="1"/>
    </xf>
    <xf numFmtId="0" fontId="13" fillId="5" borderId="49" xfId="0" applyFont="1" applyFill="1" applyBorder="1" applyAlignment="1">
      <alignment vertical="center" wrapText="1"/>
    </xf>
    <xf numFmtId="0" fontId="13" fillId="5" borderId="47" xfId="0" applyFont="1" applyFill="1" applyBorder="1" applyAlignment="1">
      <alignment vertical="center" wrapText="1"/>
    </xf>
    <xf numFmtId="0" fontId="13" fillId="5" borderId="50" xfId="0" applyFont="1" applyFill="1" applyBorder="1" applyAlignment="1">
      <alignment vertical="center" wrapText="1"/>
    </xf>
    <xf numFmtId="0" fontId="13" fillId="5" borderId="8" xfId="0" applyFont="1" applyFill="1" applyBorder="1" applyAlignment="1">
      <alignment vertical="center" wrapText="1"/>
    </xf>
    <xf numFmtId="0" fontId="11" fillId="0" borderId="0" xfId="0" applyFont="1" applyAlignment="1">
      <alignment horizontal="left" vertical="center" wrapText="1"/>
    </xf>
    <xf numFmtId="0" fontId="11" fillId="0" borderId="29" xfId="0" applyFont="1" applyBorder="1" applyAlignment="1">
      <alignment horizontal="left" vertical="center" wrapText="1"/>
    </xf>
    <xf numFmtId="14" fontId="9" fillId="0" borderId="38" xfId="1" applyNumberFormat="1" applyFont="1" applyBorder="1" applyAlignment="1">
      <alignment horizontal="center" vertical="center" wrapText="1"/>
    </xf>
    <xf numFmtId="14" fontId="9" fillId="0" borderId="39" xfId="1" applyNumberFormat="1" applyFont="1" applyBorder="1" applyAlignment="1">
      <alignment horizontal="center" vertical="center" wrapText="1"/>
    </xf>
  </cellXfs>
  <cellStyles count="2">
    <cellStyle name="Millares [0]" xfId="1" builtinId="6"/>
    <cellStyle name="Normal" xfId="0" builtinId="0"/>
  </cellStyles>
  <dxfs count="30">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560916</xdr:colOff>
      <xdr:row>0</xdr:row>
      <xdr:rowOff>101599</xdr:rowOff>
    </xdr:from>
    <xdr:to>
      <xdr:col>1</xdr:col>
      <xdr:colOff>1238250</xdr:colOff>
      <xdr:row>7</xdr:row>
      <xdr:rowOff>92038</xdr:rowOff>
    </xdr:to>
    <xdr:pic>
      <xdr:nvPicPr>
        <xdr:cNvPr id="2" name="Imagen 1">
          <a:extLst>
            <a:ext uri="{FF2B5EF4-FFF2-40B4-BE49-F238E27FC236}">
              <a16:creationId xmlns:a16="http://schemas.microsoft.com/office/drawing/2014/main" id="{1BF5B8BD-5FBC-469D-A094-A625C186B6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46743"/>
        </a:xfrm>
        <a:prstGeom prst="rect">
          <a:avLst/>
        </a:prstGeom>
        <a:noFill/>
        <a:ln>
          <a:noFill/>
        </a:ln>
      </xdr:spPr>
    </xdr:pic>
    <xdr:clientData/>
  </xdr:twoCellAnchor>
  <xdr:twoCellAnchor editAs="oneCell">
    <xdr:from>
      <xdr:col>0</xdr:col>
      <xdr:colOff>560916</xdr:colOff>
      <xdr:row>0</xdr:row>
      <xdr:rowOff>101599</xdr:rowOff>
    </xdr:from>
    <xdr:to>
      <xdr:col>1</xdr:col>
      <xdr:colOff>1238250</xdr:colOff>
      <xdr:row>7</xdr:row>
      <xdr:rowOff>20600</xdr:rowOff>
    </xdr:to>
    <xdr:pic>
      <xdr:nvPicPr>
        <xdr:cNvPr id="3" name="Imagen 2">
          <a:extLst>
            <a:ext uri="{FF2B5EF4-FFF2-40B4-BE49-F238E27FC236}">
              <a16:creationId xmlns:a16="http://schemas.microsoft.com/office/drawing/2014/main" id="{7C74F1B5-9709-47A8-AF10-BFF60DF64F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52526"/>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Willington Granados Herrera" id="{D3743440-D430-45A6-8A2B-DC29476B6E3E}" userId="S::willington.granados@idipron.gov.co::31b240b4-d49a-4bf7-b038-72480c7a6c4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7" dT="2023-04-03T20:17:26.61" personId="{D3743440-D430-45A6-8A2B-DC29476B6E3E}" id="{7D11A6DD-DF2A-4FA7-B2B4-157F7FF6B7B1}">
    <text>Se toma como referencia el numero de solicitudes de recolección de residuos de agosto a diciembre 2022 a través del aplicativo ARANDA</text>
  </threadedComment>
  <threadedComment ref="G17" dT="2024-02-21T22:16:31.32" personId="{D3743440-D430-45A6-8A2B-DC29476B6E3E}" id="{B574F851-1EA7-4866-8AA9-EF44F8E1EE71}" parentId="{7D11A6DD-DF2A-4FA7-B2B4-157F7FF6B7B1}">
    <text xml:space="preserve">Para 2024 se toma como referencia el numero de solicitudes de recolección de residuos de 2023 a través del aplicativo ARANDA
</text>
  </threadedComment>
  <threadedComment ref="J17" dT="2024-02-21T15:19:59.11" personId="{D3743440-D430-45A6-8A2B-DC29476B6E3E}" id="{70B22DDB-DDC7-47AD-B1DE-92892F312300}">
    <text>Se toma como base lo establecido en el Art. 40 de la ley 1333 de 2009</text>
  </threadedComment>
  <threadedComment ref="G24" dT="2023-04-03T21:34:01.01" personId="{D3743440-D430-45A6-8A2B-DC29476B6E3E}" id="{332271FA-2FAF-45FA-8395-3D342172446C}">
    <text>Se toma como referencia las 11 unidades en donde existen comedores o donde se dictan talleres industriales como mantenimiento de motos, mantenimiento de vehículos, serigrafia, belleza, vitrales, mantenimiento de bicicletas, etc</text>
  </threadedComment>
  <threadedComment ref="G24" dT="2024-02-21T15:22:04.53" personId="{D3743440-D430-45A6-8A2B-DC29476B6E3E}" id="{705129BD-6899-4941-848F-A1E29296CA0C}" parentId="{332271FA-2FAF-45FA-8395-3D342172446C}">
    <text>Para 2024 se toma como base  9 upis que para esta vigencia se encuentran en operación</text>
  </threadedComment>
  <threadedComment ref="G27" dT="2024-02-21T15:23:45.80" personId="{D3743440-D430-45A6-8A2B-DC29476B6E3E}" id="{65F2478C-CC71-4CD5-AEBB-D8FCBCDFC767}">
    <text>Para 2024 se aumenta a 6 teniendo en cuenta las unidades rurales que se encuentran bajo responsabilidad del IDIPRON</text>
  </threadedComment>
  <threadedComment ref="G32" dT="2024-02-21T15:23:45.80" personId="{D3743440-D430-45A6-8A2B-DC29476B6E3E}" id="{6F32358D-4DDF-427D-ACD7-3F47A9F30F92}">
    <text>Para 2024 se toma en cuenta las 13 UPIS de la entidad ubicadas en el Distrito Capital y XX  vehículos propios de la entidad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DD74B-D3D9-46FB-9DAF-7C0A11A88DD8}">
  <dimension ref="A1:AT38"/>
  <sheetViews>
    <sheetView showGridLines="0" tabSelected="1" topLeftCell="AN21" zoomScale="70" zoomScaleNormal="70" zoomScaleSheetLayoutView="90" workbookViewId="0">
      <selection activeCell="AT22" sqref="AT22"/>
    </sheetView>
  </sheetViews>
  <sheetFormatPr defaultColWidth="11.42578125" defaultRowHeight="15.6"/>
  <cols>
    <col min="2" max="2" width="27.140625" customWidth="1"/>
    <col min="3" max="3" width="26" customWidth="1"/>
    <col min="4" max="4" width="19.140625" customWidth="1"/>
    <col min="5" max="5" width="25.42578125" customWidth="1"/>
    <col min="6" max="6" width="25.42578125" hidden="1" customWidth="1"/>
    <col min="7" max="8" width="20.140625" customWidth="1"/>
    <col min="9" max="9" width="9.42578125" customWidth="1"/>
    <col min="10" max="10" width="25.42578125" customWidth="1"/>
    <col min="11" max="11" width="32.85546875" hidden="1" customWidth="1"/>
    <col min="12" max="12" width="20.140625" style="1" customWidth="1"/>
    <col min="13" max="13" width="9.42578125" style="1" customWidth="1"/>
    <col min="14" max="14" width="26.85546875" style="1" customWidth="1"/>
    <col min="15" max="15" width="11.28515625" style="1" customWidth="1"/>
    <col min="16" max="16" width="1" style="1" customWidth="1"/>
    <col min="17" max="17" width="5.140625" style="1" customWidth="1"/>
    <col min="18" max="18" width="46.7109375" style="1" customWidth="1"/>
    <col min="19" max="19" width="15.85546875" style="1" customWidth="1"/>
    <col min="20" max="22" width="5.140625" style="1" customWidth="1"/>
    <col min="23" max="23" width="25.140625" style="1" customWidth="1"/>
    <col min="24" max="24" width="11.42578125" style="1"/>
    <col min="25" max="25" width="21.140625" style="1" customWidth="1"/>
    <col min="26" max="26" width="8.7109375" style="1" customWidth="1"/>
    <col min="27" max="27" width="7.28515625" style="1" customWidth="1"/>
    <col min="28" max="28" width="9.140625" style="1" customWidth="1"/>
    <col min="29" max="29" width="8" style="1" customWidth="1"/>
    <col min="30" max="31" width="7.28515625" style="1" customWidth="1"/>
    <col min="32" max="32" width="9.28515625" style="1" customWidth="1"/>
    <col min="33" max="33" width="8.5703125" style="4" customWidth="1"/>
    <col min="34" max="34" width="1" style="4" customWidth="1"/>
    <col min="35" max="35" width="26.85546875" style="4" customWidth="1"/>
    <col min="36" max="36" width="26.7109375" style="1" customWidth="1"/>
    <col min="37" max="37" width="20.85546875" style="1" customWidth="1"/>
    <col min="38" max="38" width="2.42578125" customWidth="1"/>
    <col min="39" max="39" width="11" customWidth="1"/>
    <col min="40" max="43" width="45" customWidth="1"/>
    <col min="44" max="44" width="1" customWidth="1"/>
    <col min="45" max="46" width="45" customWidth="1"/>
  </cols>
  <sheetData>
    <row r="1" spans="1:46" ht="15.75" customHeight="1">
      <c r="A1" s="187"/>
      <c r="B1" s="188"/>
      <c r="C1" s="193" t="s">
        <v>0</v>
      </c>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5"/>
      <c r="AQ1" s="187" t="s">
        <v>1</v>
      </c>
      <c r="AR1" s="188"/>
      <c r="AS1" s="262" t="s">
        <v>2</v>
      </c>
      <c r="AT1" s="263"/>
    </row>
    <row r="2" spans="1:46" ht="15.75" customHeight="1" thickBot="1">
      <c r="A2" s="189"/>
      <c r="B2" s="190"/>
      <c r="C2" s="196"/>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8"/>
      <c r="AQ2" s="191"/>
      <c r="AR2" s="192"/>
      <c r="AS2" s="264"/>
      <c r="AT2" s="265"/>
    </row>
    <row r="3" spans="1:46" ht="15.75" customHeight="1">
      <c r="A3" s="189"/>
      <c r="B3" s="190"/>
      <c r="C3" s="196"/>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8"/>
      <c r="AQ3" s="187" t="s">
        <v>3</v>
      </c>
      <c r="AR3" s="188"/>
      <c r="AS3" s="266" t="s">
        <v>4</v>
      </c>
      <c r="AT3" s="267"/>
    </row>
    <row r="4" spans="1:46" ht="16.5" customHeight="1" thickBot="1">
      <c r="A4" s="189"/>
      <c r="B4" s="190"/>
      <c r="C4" s="199"/>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1"/>
      <c r="AQ4" s="191"/>
      <c r="AR4" s="192"/>
      <c r="AS4" s="268"/>
      <c r="AT4" s="269"/>
    </row>
    <row r="5" spans="1:46" ht="20.45" customHeight="1">
      <c r="A5" s="189"/>
      <c r="B5" s="190"/>
      <c r="C5" s="196" t="s">
        <v>5</v>
      </c>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c r="AP5" s="198"/>
      <c r="AQ5" s="187" t="s">
        <v>6</v>
      </c>
      <c r="AR5" s="188"/>
      <c r="AS5" s="187" t="s">
        <v>7</v>
      </c>
      <c r="AT5" s="188"/>
    </row>
    <row r="6" spans="1:46" ht="15" customHeight="1" thickBot="1">
      <c r="A6" s="189"/>
      <c r="B6" s="190"/>
      <c r="C6" s="196"/>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197"/>
      <c r="AO6" s="197"/>
      <c r="AP6" s="198"/>
      <c r="AQ6" s="191"/>
      <c r="AR6" s="192"/>
      <c r="AS6" s="191"/>
      <c r="AT6" s="192"/>
    </row>
    <row r="7" spans="1:46" ht="15.75" customHeight="1">
      <c r="A7" s="189"/>
      <c r="B7" s="190"/>
      <c r="C7" s="196"/>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8"/>
      <c r="AQ7" s="187" t="s">
        <v>8</v>
      </c>
      <c r="AR7" s="188"/>
      <c r="AS7" s="270">
        <v>44651</v>
      </c>
      <c r="AT7" s="263"/>
    </row>
    <row r="8" spans="1:46" ht="16.5" customHeight="1" thickBot="1">
      <c r="A8" s="191"/>
      <c r="B8" s="192"/>
      <c r="C8" s="199"/>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c r="AM8" s="200"/>
      <c r="AN8" s="200"/>
      <c r="AO8" s="200"/>
      <c r="AP8" s="201"/>
      <c r="AQ8" s="191"/>
      <c r="AR8" s="192"/>
      <c r="AS8" s="264"/>
      <c r="AT8" s="265"/>
    </row>
    <row r="10" spans="1:46" ht="54" customHeight="1">
      <c r="A10" s="222" t="s">
        <v>9</v>
      </c>
      <c r="B10" s="222"/>
      <c r="C10" s="222"/>
      <c r="D10" s="223" t="s">
        <v>0</v>
      </c>
      <c r="E10" s="224"/>
      <c r="F10" s="224"/>
      <c r="G10" s="224"/>
      <c r="H10" s="224"/>
      <c r="I10" s="224"/>
      <c r="J10" s="224"/>
      <c r="K10" s="224"/>
      <c r="L10" s="224"/>
      <c r="M10" s="225"/>
      <c r="N10" s="29"/>
      <c r="AG10" s="1"/>
      <c r="AH10" s="1"/>
      <c r="AI10" s="1"/>
    </row>
    <row r="11" spans="1:46" s="3" customFormat="1" ht="75" customHeight="1">
      <c r="A11" s="222" t="s">
        <v>10</v>
      </c>
      <c r="B11" s="222"/>
      <c r="C11" s="222"/>
      <c r="D11" s="226" t="s">
        <v>11</v>
      </c>
      <c r="E11" s="227"/>
      <c r="F11" s="227"/>
      <c r="G11" s="227"/>
      <c r="H11" s="227"/>
      <c r="I11" s="227"/>
      <c r="J11" s="227"/>
      <c r="K11" s="227"/>
      <c r="L11" s="227"/>
      <c r="M11" s="228"/>
      <c r="N11" s="30"/>
      <c r="O11" s="2"/>
      <c r="P11" s="2"/>
      <c r="Q11" s="2"/>
      <c r="R11" s="2"/>
      <c r="S11" s="2"/>
      <c r="T11" s="2"/>
      <c r="U11" s="2"/>
      <c r="V11" s="2"/>
      <c r="W11" s="2"/>
      <c r="X11" s="2"/>
      <c r="Y11" s="2"/>
      <c r="Z11" s="2"/>
      <c r="AA11" s="2"/>
      <c r="AB11" s="2"/>
      <c r="AC11" s="2"/>
      <c r="AD11" s="2"/>
      <c r="AE11" s="2"/>
      <c r="AF11" s="2"/>
      <c r="AG11" s="2"/>
      <c r="AH11" s="2"/>
      <c r="AI11" s="2"/>
      <c r="AJ11" s="2"/>
      <c r="AK11" s="2"/>
    </row>
    <row r="12" spans="1:46" s="3" customFormat="1" ht="100.5" customHeight="1">
      <c r="A12" s="222" t="s">
        <v>12</v>
      </c>
      <c r="B12" s="222"/>
      <c r="C12" s="222"/>
      <c r="D12" s="226" t="s">
        <v>13</v>
      </c>
      <c r="E12" s="227"/>
      <c r="F12" s="227"/>
      <c r="G12" s="227"/>
      <c r="H12" s="227"/>
      <c r="I12" s="227"/>
      <c r="J12" s="227"/>
      <c r="K12" s="227"/>
      <c r="L12" s="227"/>
      <c r="M12" s="228"/>
      <c r="N12" s="30"/>
      <c r="O12" s="2"/>
      <c r="P12" s="2"/>
      <c r="Q12" s="2"/>
      <c r="R12" s="2"/>
      <c r="S12" s="2"/>
      <c r="T12" s="2"/>
      <c r="U12" s="2"/>
      <c r="V12" s="2"/>
      <c r="W12" s="2"/>
      <c r="X12" s="2"/>
      <c r="Y12" s="2"/>
      <c r="Z12" s="2"/>
      <c r="AA12" s="2"/>
      <c r="AB12" s="2"/>
      <c r="AC12" s="2"/>
      <c r="AD12" s="2"/>
      <c r="AE12" s="2"/>
      <c r="AF12" s="2"/>
      <c r="AG12" s="2"/>
      <c r="AH12" s="2"/>
      <c r="AI12" s="2"/>
      <c r="AJ12" s="2"/>
      <c r="AK12" s="2"/>
    </row>
    <row r="13" spans="1:46" s="3" customFormat="1" ht="24.75" customHeight="1" thickBot="1">
      <c r="A13" s="7"/>
      <c r="B13" s="7"/>
      <c r="C13" s="7"/>
      <c r="D13" s="7"/>
      <c r="E13" s="7"/>
      <c r="F13" s="7"/>
      <c r="G13" s="7"/>
      <c r="H13" s="7"/>
      <c r="I13" s="7"/>
      <c r="J13" s="7"/>
      <c r="K13" s="7"/>
      <c r="L13" s="7"/>
      <c r="M13" s="7"/>
      <c r="N13" s="7"/>
      <c r="O13" s="2"/>
      <c r="P13" s="2"/>
      <c r="Q13" s="2"/>
      <c r="R13" s="2"/>
      <c r="S13" s="2"/>
      <c r="T13" s="2"/>
      <c r="U13" s="2"/>
      <c r="V13" s="2"/>
      <c r="W13" s="2"/>
      <c r="X13" s="2"/>
      <c r="Y13" s="2"/>
      <c r="Z13" s="2"/>
      <c r="AA13" s="2"/>
      <c r="AB13" s="2"/>
      <c r="AC13" s="2"/>
      <c r="AD13" s="2"/>
      <c r="AE13" s="2"/>
      <c r="AF13" s="2"/>
      <c r="AG13" s="2"/>
      <c r="AH13" s="2"/>
      <c r="AI13" s="2"/>
      <c r="AJ13" s="2"/>
      <c r="AK13" s="2"/>
    </row>
    <row r="14" spans="1:46" s="3" customFormat="1" ht="24.75" customHeight="1">
      <c r="A14" s="235" t="s">
        <v>14</v>
      </c>
      <c r="B14" s="236"/>
      <c r="C14" s="236"/>
      <c r="D14" s="236"/>
      <c r="E14" s="236"/>
      <c r="F14" s="236"/>
      <c r="G14" s="236"/>
      <c r="H14" s="236"/>
      <c r="I14" s="236"/>
      <c r="J14" s="236"/>
      <c r="K14" s="236"/>
      <c r="L14" s="236"/>
      <c r="M14" s="236"/>
      <c r="N14" s="237"/>
      <c r="O14" s="238"/>
      <c r="P14" s="2"/>
      <c r="Q14" s="142" t="s">
        <v>15</v>
      </c>
      <c r="R14" s="143"/>
      <c r="S14" s="143"/>
      <c r="T14" s="144"/>
      <c r="U14" s="144"/>
      <c r="V14" s="144"/>
      <c r="W14" s="144"/>
      <c r="X14" s="144"/>
      <c r="Y14" s="144"/>
      <c r="Z14" s="143"/>
      <c r="AA14" s="143"/>
      <c r="AB14" s="143"/>
      <c r="AC14" s="143"/>
      <c r="AD14" s="143"/>
      <c r="AE14" s="143"/>
      <c r="AF14" s="143"/>
      <c r="AG14" s="145"/>
      <c r="AH14" s="2"/>
      <c r="AI14" s="202" t="s">
        <v>16</v>
      </c>
      <c r="AJ14" s="203"/>
      <c r="AK14" s="204"/>
      <c r="AM14" s="202" t="s">
        <v>17</v>
      </c>
      <c r="AN14" s="203"/>
      <c r="AO14" s="203"/>
      <c r="AP14" s="203"/>
      <c r="AQ14" s="203"/>
      <c r="AR14" s="42"/>
      <c r="AS14" s="202" t="s">
        <v>18</v>
      </c>
      <c r="AT14" s="204"/>
    </row>
    <row r="15" spans="1:46">
      <c r="A15" s="239"/>
      <c r="B15" s="240"/>
      <c r="C15" s="240"/>
      <c r="D15" s="240"/>
      <c r="E15" s="240"/>
      <c r="F15" s="240"/>
      <c r="G15" s="240"/>
      <c r="H15" s="240"/>
      <c r="I15" s="240"/>
      <c r="J15" s="240"/>
      <c r="K15" s="240"/>
      <c r="L15" s="240"/>
      <c r="M15" s="240"/>
      <c r="N15" s="241"/>
      <c r="O15" s="242"/>
      <c r="P15" s="2"/>
      <c r="Q15" s="31"/>
      <c r="R15" s="32"/>
      <c r="S15" s="32"/>
      <c r="T15" s="148" t="s">
        <v>19</v>
      </c>
      <c r="U15" s="148"/>
      <c r="V15" s="148"/>
      <c r="W15" s="148"/>
      <c r="X15" s="148"/>
      <c r="Y15" s="148"/>
      <c r="Z15" s="146"/>
      <c r="AA15" s="146"/>
      <c r="AB15" s="146"/>
      <c r="AC15" s="146"/>
      <c r="AD15" s="146"/>
      <c r="AE15" s="146"/>
      <c r="AF15" s="146"/>
      <c r="AG15" s="147"/>
      <c r="AH15" s="2"/>
      <c r="AI15" s="205"/>
      <c r="AJ15" s="206"/>
      <c r="AK15" s="207"/>
      <c r="AM15" s="205"/>
      <c r="AN15" s="206"/>
      <c r="AO15" s="206"/>
      <c r="AP15" s="206"/>
      <c r="AQ15" s="206"/>
      <c r="AR15" s="42"/>
      <c r="AS15" s="205"/>
      <c r="AT15" s="207"/>
    </row>
    <row r="16" spans="1:46" s="5" customFormat="1" ht="106.5" customHeight="1">
      <c r="A16" s="11" t="s">
        <v>20</v>
      </c>
      <c r="B16" s="12" t="s">
        <v>21</v>
      </c>
      <c r="C16" s="13" t="s">
        <v>22</v>
      </c>
      <c r="D16" s="13" t="s">
        <v>23</v>
      </c>
      <c r="E16" s="14" t="s">
        <v>24</v>
      </c>
      <c r="F16" s="24" t="s">
        <v>25</v>
      </c>
      <c r="G16" s="46" t="s">
        <v>26</v>
      </c>
      <c r="H16" s="14" t="s">
        <v>27</v>
      </c>
      <c r="I16" s="13" t="s">
        <v>28</v>
      </c>
      <c r="J16" s="13" t="s">
        <v>29</v>
      </c>
      <c r="K16" s="14" t="s">
        <v>30</v>
      </c>
      <c r="L16" s="14" t="s">
        <v>31</v>
      </c>
      <c r="M16" s="13" t="s">
        <v>28</v>
      </c>
      <c r="N16" s="13" t="s">
        <v>32</v>
      </c>
      <c r="O16" s="15" t="s">
        <v>33</v>
      </c>
      <c r="P16" s="2"/>
      <c r="Q16" s="16" t="s">
        <v>34</v>
      </c>
      <c r="R16" s="17" t="s">
        <v>35</v>
      </c>
      <c r="S16" s="34" t="s">
        <v>36</v>
      </c>
      <c r="T16" s="18" t="s">
        <v>37</v>
      </c>
      <c r="U16" s="18" t="s">
        <v>38</v>
      </c>
      <c r="V16" s="18" t="s">
        <v>39</v>
      </c>
      <c r="W16" s="18" t="s">
        <v>40</v>
      </c>
      <c r="X16" s="18" t="s">
        <v>41</v>
      </c>
      <c r="Y16" s="18" t="s">
        <v>42</v>
      </c>
      <c r="Z16" s="19" t="s">
        <v>43</v>
      </c>
      <c r="AA16" s="19" t="s">
        <v>44</v>
      </c>
      <c r="AB16" s="19" t="s">
        <v>28</v>
      </c>
      <c r="AC16" s="19" t="s">
        <v>45</v>
      </c>
      <c r="AD16" s="19" t="s">
        <v>28</v>
      </c>
      <c r="AE16" s="19" t="s">
        <v>32</v>
      </c>
      <c r="AF16" s="19" t="s">
        <v>46</v>
      </c>
      <c r="AG16" s="15" t="s">
        <v>47</v>
      </c>
      <c r="AH16" s="2"/>
      <c r="AI16" s="20" t="s">
        <v>48</v>
      </c>
      <c r="AJ16" s="17" t="s">
        <v>49</v>
      </c>
      <c r="AK16" s="41" t="s">
        <v>50</v>
      </c>
      <c r="AM16" s="44" t="s">
        <v>51</v>
      </c>
      <c r="AN16" s="44" t="s">
        <v>52</v>
      </c>
      <c r="AO16" s="44" t="s">
        <v>53</v>
      </c>
      <c r="AP16" s="44" t="s">
        <v>54</v>
      </c>
      <c r="AQ16" s="44" t="s">
        <v>55</v>
      </c>
      <c r="AR16" s="43"/>
      <c r="AS16" s="44" t="s">
        <v>56</v>
      </c>
      <c r="AT16" s="45" t="s">
        <v>57</v>
      </c>
    </row>
    <row r="17" spans="1:46" ht="223.5" customHeight="1">
      <c r="A17" s="162">
        <v>1</v>
      </c>
      <c r="B17" s="165" t="s">
        <v>58</v>
      </c>
      <c r="C17" s="168" t="s">
        <v>59</v>
      </c>
      <c r="D17" s="168" t="s">
        <v>60</v>
      </c>
      <c r="E17" s="168" t="s">
        <v>61</v>
      </c>
      <c r="F17" s="153"/>
      <c r="G17" s="243">
        <v>501</v>
      </c>
      <c r="H17" s="172" t="str">
        <f>IF(G17&lt;=0,"",IF(G17&lt;=2,"Muy Baja",IF(G17&lt;=24,"Baja",IF(G17&lt;=500,"Media",IF(G17&lt;=5000,"Alta","Muy Alta")))))</f>
        <v>Alta</v>
      </c>
      <c r="I17" s="149">
        <f>IF(H17="","",IF(H17="Muy Baja",0.2,IF(H17="Baja",0.4,IF(H17="Media",0.6,IF(H17="Alta",0.8,IF(H17="Muy Alta",1,))))))</f>
        <v>0.8</v>
      </c>
      <c r="J17" s="183" t="s">
        <v>62</v>
      </c>
      <c r="K17" s="136" t="str">
        <f>+J17</f>
        <v xml:space="preserve">Afectación Mayor a 3000 SMLMV </v>
      </c>
      <c r="L17" s="172" t="str">
        <f>+VLOOKUP(K17,Datos!$O$4:$P$15,2,FALSE)</f>
        <v>Catastrófico</v>
      </c>
      <c r="M17" s="149">
        <f>IF(L17="","",IF(L17="Leve",0.2,IF(L17="Menor",0.4,IF(L17="Moderado",0.6,IF(L17="Mayor",0.8,IF(L17="Catastrófico",1,))))))</f>
        <v>1</v>
      </c>
      <c r="N17" s="217" t="str">
        <f>+CONCATENATE(H17, " - ", L17)</f>
        <v>Alta - Catastrófico</v>
      </c>
      <c r="O17" s="139" t="str">
        <f>+VLOOKUP(N17,Datos!J4:K28,2,)</f>
        <v>EXTREMO</v>
      </c>
      <c r="P17" s="37"/>
      <c r="Q17" s="21">
        <v>1</v>
      </c>
      <c r="R17" s="33" t="s">
        <v>63</v>
      </c>
      <c r="S17" s="51" t="str">
        <f t="shared" ref="S17:S23" si="0">IF(OR(T17="Preventivo",T17="Detectivo"),"Probabilidad",IF(T17="Correctivo","Impacto",""))</f>
        <v>Probabilidad</v>
      </c>
      <c r="T17" s="38" t="s">
        <v>64</v>
      </c>
      <c r="U17" s="38" t="s">
        <v>65</v>
      </c>
      <c r="V17" s="55" t="str">
        <f t="shared" ref="V17:V26" si="1">IF(AND(T17="Preventivo",U17="Automático"),"50%",IF(AND(T17="Preventivo",U17="Manual"),"40%",IF(AND(T17="Detectivo",U17="Automático"),"40%",IF(AND(T17="Detectivo",U17="Manual"),"30%",IF(AND(T17="Correctivo",U17="Automático"),"35%",IF(AND(T17="Correctivo",U17="Manual"),"25%",""))))))</f>
        <v>30%</v>
      </c>
      <c r="W17" s="39" t="s">
        <v>66</v>
      </c>
      <c r="X17" s="101" t="s">
        <v>67</v>
      </c>
      <c r="Y17" s="39" t="s">
        <v>68</v>
      </c>
      <c r="Z17" s="59">
        <f>IFERROR(IF(S17="Probabilidad",(I17-(+I17*V17)),IF(S17="Impacto",I17,"")),"")</f>
        <v>0.56000000000000005</v>
      </c>
      <c r="AA17" s="60" t="str">
        <f t="shared" ref="AA17:AA26" si="2">IFERROR(IF(Z17="","",IF(Z17&lt;=0.2,"Muy Baja",IF(Z17&lt;=0.4,"Baja",IF(Z17&lt;=0.6,"Media",IF(Z17&lt;=0.8,"Alta","Muy Alta"))))),"")</f>
        <v>Media</v>
      </c>
      <c r="AB17" s="105">
        <f t="shared" ref="AB17:AB26" si="3">+Z17</f>
        <v>0.56000000000000005</v>
      </c>
      <c r="AC17" s="62" t="str">
        <f t="shared" ref="AC17:AC26" si="4">IFERROR(IF(AD17="","",IF(AD17&lt;=0.2,"Leve",IF(AD17&lt;=0.4,"Menor",IF(AD17&lt;=0.6,"Moderado",IF(AD17&lt;=0.8,"Mayor","Catastrófico"))))),"")</f>
        <v>Catastrófico</v>
      </c>
      <c r="AD17" s="59">
        <f>IFERROR(IF(S17="Impacto",(M17-(+M17*V17)),IF(S17="Probabilidad",M17,"")),"")</f>
        <v>1</v>
      </c>
      <c r="AE17" s="63" t="str">
        <f>+CONCATENATE(AA17, " - ", AC17)</f>
        <v>Media - Catastrófico</v>
      </c>
      <c r="AF17" s="79" t="str">
        <f>+VLOOKUP(AE17,Datos!$J$4:$K$28,2,)</f>
        <v>EXTREMO</v>
      </c>
      <c r="AG17" s="219" t="s">
        <v>69</v>
      </c>
      <c r="AH17" s="37"/>
      <c r="AI17" s="208" t="s">
        <v>70</v>
      </c>
      <c r="AJ17" s="211" t="s">
        <v>71</v>
      </c>
      <c r="AK17" s="214">
        <v>45534</v>
      </c>
      <c r="AM17" s="229">
        <v>45546</v>
      </c>
      <c r="AN17" s="231" t="s">
        <v>72</v>
      </c>
      <c r="AO17" s="260" t="s">
        <v>73</v>
      </c>
      <c r="AP17" s="260" t="s">
        <v>74</v>
      </c>
      <c r="AQ17" s="260" t="s">
        <v>75</v>
      </c>
      <c r="AR17" s="43"/>
      <c r="AS17" s="271" t="s">
        <v>76</v>
      </c>
      <c r="AT17" s="129" t="s">
        <v>77</v>
      </c>
    </row>
    <row r="18" spans="1:46" ht="176.25" customHeight="1">
      <c r="A18" s="278"/>
      <c r="B18" s="276"/>
      <c r="C18" s="233"/>
      <c r="D18" s="233"/>
      <c r="E18" s="233"/>
      <c r="F18" s="154"/>
      <c r="G18" s="244"/>
      <c r="H18" s="247"/>
      <c r="I18" s="150"/>
      <c r="J18" s="184"/>
      <c r="K18" s="137"/>
      <c r="L18" s="247"/>
      <c r="M18" s="150"/>
      <c r="N18" s="175"/>
      <c r="O18" s="140"/>
      <c r="P18" s="2"/>
      <c r="Q18" s="8">
        <v>2</v>
      </c>
      <c r="R18" s="102" t="s">
        <v>78</v>
      </c>
      <c r="S18" s="52" t="str">
        <f t="shared" si="0"/>
        <v>Probabilidad</v>
      </c>
      <c r="T18" s="6" t="s">
        <v>79</v>
      </c>
      <c r="U18" s="6" t="s">
        <v>65</v>
      </c>
      <c r="V18" s="56" t="str">
        <f t="shared" si="1"/>
        <v>40%</v>
      </c>
      <c r="W18" s="10" t="s">
        <v>80</v>
      </c>
      <c r="X18" s="10" t="s">
        <v>81</v>
      </c>
      <c r="Y18" s="10" t="s">
        <v>82</v>
      </c>
      <c r="Z18" s="64">
        <f>IFERROR(IF(AND(S17="Probabilidad",S18="Probabilidad"),(AB17-(+AB17*V18)),IF(S18="Probabilidad",(I17-(+I17*V18)),IF(S18="Impacto",AB17,""))),"")</f>
        <v>0.33600000000000002</v>
      </c>
      <c r="AA18" s="65" t="str">
        <f t="shared" si="2"/>
        <v>Baja</v>
      </c>
      <c r="AB18" s="106">
        <f t="shared" si="3"/>
        <v>0.33600000000000002</v>
      </c>
      <c r="AC18" s="67" t="str">
        <f t="shared" si="4"/>
        <v>Catastrófico</v>
      </c>
      <c r="AD18" s="64">
        <f>IFERROR(IF(AND(S17="Impacto",S17="Impacto"),(AD17-(+AD17*V18)),IF(S18="Impacto",(M17-(+M17*V18)),IF(S18="Probabilidad",AD17,""))),"")</f>
        <v>1</v>
      </c>
      <c r="AE18" s="68" t="str">
        <f t="shared" ref="AE18:AE19" si="5">+CONCATENATE(AA18, " - ", AC18)</f>
        <v>Baja - Catastrófico</v>
      </c>
      <c r="AF18" s="80" t="str">
        <f>+VLOOKUP(AE18,Datos!$J$4:$K$28,2,)</f>
        <v>EXTREMO</v>
      </c>
      <c r="AG18" s="220"/>
      <c r="AH18" s="2"/>
      <c r="AI18" s="209"/>
      <c r="AJ18" s="212"/>
      <c r="AK18" s="215"/>
      <c r="AM18" s="230"/>
      <c r="AN18" s="232"/>
      <c r="AO18" s="274"/>
      <c r="AP18" s="261"/>
      <c r="AQ18" s="261"/>
      <c r="AR18" s="42"/>
      <c r="AS18" s="272"/>
      <c r="AT18" s="130" t="s">
        <v>83</v>
      </c>
    </row>
    <row r="19" spans="1:46" ht="135" customHeight="1">
      <c r="A19" s="279"/>
      <c r="B19" s="277"/>
      <c r="C19" s="234"/>
      <c r="D19" s="234"/>
      <c r="E19" s="234"/>
      <c r="F19" s="155"/>
      <c r="G19" s="245"/>
      <c r="H19" s="248"/>
      <c r="I19" s="151"/>
      <c r="J19" s="184"/>
      <c r="K19" s="137"/>
      <c r="L19" s="248"/>
      <c r="M19" s="151"/>
      <c r="N19" s="175"/>
      <c r="O19" s="140"/>
      <c r="P19" s="2"/>
      <c r="Q19" s="47">
        <v>3</v>
      </c>
      <c r="R19" s="103" t="s">
        <v>84</v>
      </c>
      <c r="S19" s="52" t="str">
        <f t="shared" si="0"/>
        <v>Probabilidad</v>
      </c>
      <c r="T19" s="49" t="s">
        <v>79</v>
      </c>
      <c r="U19" s="49" t="s">
        <v>65</v>
      </c>
      <c r="V19" s="56" t="str">
        <f t="shared" si="1"/>
        <v>40%</v>
      </c>
      <c r="W19" s="50" t="s">
        <v>85</v>
      </c>
      <c r="X19" s="50" t="s">
        <v>86</v>
      </c>
      <c r="Y19" s="126" t="s">
        <v>87</v>
      </c>
      <c r="Z19" s="64">
        <f>IFERROR(IF(AND(S18="Probabilidad",S19="Probabilidad"),(AB18-(+AB18*V19)),IF(S19="Probabilidad",(I17-(+I17*V19)),IF(S19="Impacto",AB18,""))),"")</f>
        <v>0.2016</v>
      </c>
      <c r="AA19" s="65" t="str">
        <f t="shared" ref="AA19" si="6">IFERROR(IF(Z19="","",IF(Z19&lt;=0.2,"Muy Baja",IF(Z19&lt;=0.4,"Baja",IF(Z19&lt;=0.6,"Media",IF(Z19&lt;=0.8,"Alta","Muy Alta"))))),"")</f>
        <v>Baja</v>
      </c>
      <c r="AB19" s="106">
        <f t="shared" ref="AB19" si="7">+Z19</f>
        <v>0.2016</v>
      </c>
      <c r="AC19" s="72" t="str">
        <f t="shared" ref="AC19" si="8">IFERROR(IF(AD19="","",IF(AD19&lt;=0.2,"Leve",IF(AD19&lt;=0.4,"Menor",IF(AD19&lt;=0.6,"Moderado",IF(AD19&lt;=0.8,"Mayor","Catastrófico"))))),"")</f>
        <v>Catastrófico</v>
      </c>
      <c r="AD19" s="64">
        <f>IFERROR(IF(AND(S17="Impacto",S17="Impacto"),(AD17-(+AD17*V19)),IF(S19="Impacto",(M16-(+M16*V19)),IF(S19="Probabilidad",AD17,""))),"")</f>
        <v>1</v>
      </c>
      <c r="AE19" s="73" t="str">
        <f t="shared" si="5"/>
        <v>Baja - Catastrófico</v>
      </c>
      <c r="AF19" s="80" t="str">
        <f>+VLOOKUP(AE19,Datos!$J$4:$K$28,2,)</f>
        <v>EXTREMO</v>
      </c>
      <c r="AG19" s="180"/>
      <c r="AH19" s="2"/>
      <c r="AI19" s="209"/>
      <c r="AJ19" s="212"/>
      <c r="AK19" s="215"/>
      <c r="AM19" s="230"/>
      <c r="AN19" s="232"/>
      <c r="AO19" s="274"/>
      <c r="AP19" s="261"/>
      <c r="AQ19" s="261"/>
      <c r="AR19" s="42"/>
      <c r="AS19" s="272"/>
      <c r="AT19" s="130" t="s">
        <v>88</v>
      </c>
    </row>
    <row r="20" spans="1:46" ht="225" customHeight="1">
      <c r="A20" s="279"/>
      <c r="B20" s="277"/>
      <c r="C20" s="234"/>
      <c r="D20" s="234"/>
      <c r="E20" s="234"/>
      <c r="F20" s="155"/>
      <c r="G20" s="245"/>
      <c r="H20" s="248"/>
      <c r="I20" s="151"/>
      <c r="J20" s="184"/>
      <c r="K20" s="137"/>
      <c r="L20" s="248"/>
      <c r="M20" s="151"/>
      <c r="N20" s="175"/>
      <c r="O20" s="140"/>
      <c r="P20" s="2"/>
      <c r="Q20" s="47">
        <v>4</v>
      </c>
      <c r="R20" s="103" t="s">
        <v>89</v>
      </c>
      <c r="S20" s="52" t="str">
        <f t="shared" si="0"/>
        <v>Probabilidad</v>
      </c>
      <c r="T20" s="49" t="s">
        <v>79</v>
      </c>
      <c r="U20" s="49" t="s">
        <v>65</v>
      </c>
      <c r="V20" s="56" t="str">
        <f t="shared" ref="V20" si="9">IF(AND(T20="Preventivo",U20="Automático"),"50%",IF(AND(T20="Preventivo",U20="Manual"),"40%",IF(AND(T20="Detectivo",U20="Automático"),"40%",IF(AND(T20="Detectivo",U20="Manual"),"30%",IF(AND(T20="Correctivo",U20="Automático"),"35%",IF(AND(T20="Correctivo",U20="Manual"),"25%",""))))))</f>
        <v>40%</v>
      </c>
      <c r="W20" s="50" t="s">
        <v>90</v>
      </c>
      <c r="X20" s="50" t="s">
        <v>86</v>
      </c>
      <c r="Y20" s="50" t="s">
        <v>91</v>
      </c>
      <c r="Z20" s="64">
        <f>IFERROR(IF(AND(S19="Probabilidad",S20="Probabilidad"),(AB19-(+AB19*V20)),IF(S20="Probabilidad",(I18-(+I18*V20)),IF(S20="Impacto",AB19,""))),"")</f>
        <v>0.12096</v>
      </c>
      <c r="AA20" s="65" t="str">
        <f t="shared" ref="AA20" si="10">IFERROR(IF(Z20="","",IF(Z20&lt;=0.2,"Muy Baja",IF(Z20&lt;=0.4,"Baja",IF(Z20&lt;=0.6,"Media",IF(Z20&lt;=0.8,"Alta","Muy Alta"))))),"")</f>
        <v>Muy Baja</v>
      </c>
      <c r="AB20" s="106">
        <f t="shared" ref="AB20" si="11">+Z20</f>
        <v>0.12096</v>
      </c>
      <c r="AC20" s="72" t="str">
        <f t="shared" ref="AC20" si="12">IFERROR(IF(AD20="","",IF(AD20&lt;=0.2,"Leve",IF(AD20&lt;=0.4,"Menor",IF(AD20&lt;=0.6,"Moderado",IF(AD20&lt;=0.8,"Mayor","Catastrófico"))))),"")</f>
        <v>Catastrófico</v>
      </c>
      <c r="AD20" s="64">
        <f>IFERROR(IF(AND(S18="Impacto",S18="Impacto"),(AD18-(+AD18*V20)),IF(S20="Impacto",(M17-(+M17*V20)),IF(S20="Probabilidad",AD18,""))),"")</f>
        <v>1</v>
      </c>
      <c r="AE20" s="73" t="str">
        <f t="shared" ref="AE20" si="13">+CONCATENATE(AA20, " - ", AC20)</f>
        <v>Muy Baja - Catastrófico</v>
      </c>
      <c r="AF20" s="80" t="str">
        <f>+VLOOKUP(AE20,Datos!$J$4:$K$28,2,)</f>
        <v>EXTREMO</v>
      </c>
      <c r="AG20" s="180"/>
      <c r="AH20" s="2"/>
      <c r="AI20" s="209"/>
      <c r="AJ20" s="212"/>
      <c r="AK20" s="215"/>
      <c r="AM20" s="230"/>
      <c r="AN20" s="232"/>
      <c r="AO20" s="274"/>
      <c r="AP20" s="261"/>
      <c r="AQ20" s="261"/>
      <c r="AR20" s="42"/>
      <c r="AS20" s="272"/>
      <c r="AT20" s="130" t="s">
        <v>92</v>
      </c>
    </row>
    <row r="21" spans="1:46" ht="196.5" customHeight="1">
      <c r="A21" s="279"/>
      <c r="B21" s="277"/>
      <c r="C21" s="234"/>
      <c r="D21" s="234"/>
      <c r="E21" s="234"/>
      <c r="F21" s="155"/>
      <c r="G21" s="245"/>
      <c r="H21" s="248"/>
      <c r="I21" s="151"/>
      <c r="J21" s="184"/>
      <c r="K21" s="137"/>
      <c r="L21" s="248"/>
      <c r="M21" s="151"/>
      <c r="N21" s="175"/>
      <c r="O21" s="140"/>
      <c r="P21" s="2"/>
      <c r="Q21" s="47">
        <v>5</v>
      </c>
      <c r="R21" s="48" t="s">
        <v>93</v>
      </c>
      <c r="S21" s="52" t="str">
        <f t="shared" si="0"/>
        <v>Impacto</v>
      </c>
      <c r="T21" s="49" t="s">
        <v>94</v>
      </c>
      <c r="U21" s="49" t="s">
        <v>65</v>
      </c>
      <c r="V21" s="56" t="str">
        <f t="shared" si="1"/>
        <v>25%</v>
      </c>
      <c r="W21" s="50" t="s">
        <v>95</v>
      </c>
      <c r="X21" s="50" t="s">
        <v>96</v>
      </c>
      <c r="Y21" s="50" t="s">
        <v>97</v>
      </c>
      <c r="Z21" s="64">
        <f>IFERROR(IF(AND(S20="Probabilidad",S21="Probabilidad"),(AB20-(+AB20*V21)),IF(S21="Probabilidad",(I17-(+I17*V21)),IF(S21="Impacto",AB20,""))),"")</f>
        <v>0.12096</v>
      </c>
      <c r="AA21" s="98" t="str">
        <f t="shared" si="2"/>
        <v>Muy Baja</v>
      </c>
      <c r="AB21" s="106">
        <f t="shared" si="3"/>
        <v>0.12096</v>
      </c>
      <c r="AC21" s="72" t="str">
        <f t="shared" si="4"/>
        <v>Mayor</v>
      </c>
      <c r="AD21" s="64">
        <f>IFERROR(IF(AND(S20="Impacto",S20="Impacto"),(AD20-(+AD20*V21)),IF(S21="Impacto",(M17-(+M17*V21)),IF(S21="Probabilidad",AD20,""))),"")</f>
        <v>0.75</v>
      </c>
      <c r="AE21" s="73" t="str">
        <f t="shared" ref="AE21:AE23" si="14">+CONCATENATE(AA21, " - ", AC21)</f>
        <v>Muy Baja - Mayor</v>
      </c>
      <c r="AF21" s="80" t="str">
        <f>+VLOOKUP(AE21,Datos!$J$4:$K$28,2,)</f>
        <v>ALTO</v>
      </c>
      <c r="AG21" s="180"/>
      <c r="AH21" s="2"/>
      <c r="AI21" s="209"/>
      <c r="AJ21" s="212"/>
      <c r="AK21" s="215"/>
      <c r="AM21" s="230"/>
      <c r="AN21" s="232"/>
      <c r="AO21" s="274"/>
      <c r="AP21" s="261"/>
      <c r="AQ21" s="261"/>
      <c r="AR21" s="42"/>
      <c r="AS21" s="272"/>
      <c r="AT21" s="130" t="s">
        <v>98</v>
      </c>
    </row>
    <row r="22" spans="1:46" ht="228.75" customHeight="1">
      <c r="A22" s="279"/>
      <c r="B22" s="277"/>
      <c r="C22" s="234"/>
      <c r="D22" s="234"/>
      <c r="E22" s="234"/>
      <c r="F22" s="155"/>
      <c r="G22" s="245"/>
      <c r="H22" s="248"/>
      <c r="I22" s="151"/>
      <c r="J22" s="184"/>
      <c r="K22" s="137"/>
      <c r="L22" s="248"/>
      <c r="M22" s="151"/>
      <c r="N22" s="175"/>
      <c r="O22" s="140"/>
      <c r="P22" s="2"/>
      <c r="Q22" s="9">
        <v>6</v>
      </c>
      <c r="R22" s="48" t="s">
        <v>99</v>
      </c>
      <c r="S22" s="87" t="str">
        <f t="shared" ref="S22" si="15">IF(OR(T22="Preventivo",T22="Detectivo"),"Probabilidad",IF(T22="Correctivo","Impacto",""))</f>
        <v>Impacto</v>
      </c>
      <c r="T22" s="49" t="s">
        <v>94</v>
      </c>
      <c r="U22" s="49" t="s">
        <v>65</v>
      </c>
      <c r="V22" s="88" t="str">
        <f t="shared" ref="V22" si="16">IF(AND(T22="Preventivo",U22="Automático"),"50%",IF(AND(T22="Preventivo",U22="Manual"),"40%",IF(AND(T22="Detectivo",U22="Automático"),"40%",IF(AND(T22="Detectivo",U22="Manual"),"30%",IF(AND(T22="Correctivo",U22="Automático"),"35%",IF(AND(T22="Correctivo",U22="Manual"),"25%",""))))))</f>
        <v>25%</v>
      </c>
      <c r="W22" s="50" t="s">
        <v>80</v>
      </c>
      <c r="X22" s="50" t="s">
        <v>100</v>
      </c>
      <c r="Y22" s="104" t="s">
        <v>101</v>
      </c>
      <c r="Z22" s="97">
        <f>IFERROR(IF(AND(S21="Probabilidad",S22="Probabilidad"),(AB21-(+AB21*V22)),IF(S22="Probabilidad",(I16-(+I16*V22)),IF(S22="Impacto",AB21,""))),"")</f>
        <v>0.12096</v>
      </c>
      <c r="AA22" s="98" t="str">
        <f t="shared" ref="AA22" si="17">IFERROR(IF(Z22="","",IF(Z22&lt;=0.2,"Muy Baja",IF(Z22&lt;=0.4,"Baja",IF(Z22&lt;=0.6,"Media",IF(Z22&lt;=0.8,"Alta","Muy Alta"))))),"")</f>
        <v>Muy Baja</v>
      </c>
      <c r="AB22" s="107">
        <f t="shared" ref="AB22" si="18">+Z22</f>
        <v>0.12096</v>
      </c>
      <c r="AC22" s="90" t="str">
        <f t="shared" ref="AC22" si="19">IFERROR(IF(AD22="","",IF(AD22&lt;=0.2,"Leve",IF(AD22&lt;=0.4,"Menor",IF(AD22&lt;=0.6,"Moderado",IF(AD22&lt;=0.8,"Mayor","Catastrófico"))))),"")</f>
        <v>Moderado</v>
      </c>
      <c r="AD22" s="89">
        <f>IFERROR(IF(AND(S21="Impacto",S21="Impacto"),(AD21-(+AD21*V22)),IF(S22="Impacto",(M17-(+M17*V22)),IF(S22="Probabilidad",AD21,""))),"")</f>
        <v>0.5625</v>
      </c>
      <c r="AE22" s="84" t="str">
        <f t="shared" ref="AE22" si="20">+CONCATENATE(AA22, " - ", AC22)</f>
        <v>Muy Baja - Moderado</v>
      </c>
      <c r="AF22" s="91" t="str">
        <f>+VLOOKUP(AE22,Datos!$J$4:$K$28,2,)</f>
        <v>MODERADO</v>
      </c>
      <c r="AG22" s="180"/>
      <c r="AH22" s="2"/>
      <c r="AI22" s="209"/>
      <c r="AJ22" s="212"/>
      <c r="AK22" s="215"/>
      <c r="AM22" s="230"/>
      <c r="AN22" s="232"/>
      <c r="AO22" s="274"/>
      <c r="AP22" s="261"/>
      <c r="AQ22" s="261"/>
      <c r="AR22" s="42"/>
      <c r="AS22" s="272"/>
      <c r="AT22" s="131" t="s">
        <v>102</v>
      </c>
    </row>
    <row r="23" spans="1:46" ht="252.75" customHeight="1">
      <c r="A23" s="164"/>
      <c r="B23" s="167"/>
      <c r="C23" s="170"/>
      <c r="D23" s="170"/>
      <c r="E23" s="170"/>
      <c r="F23" s="156"/>
      <c r="G23" s="246"/>
      <c r="H23" s="174"/>
      <c r="I23" s="152"/>
      <c r="J23" s="185"/>
      <c r="K23" s="138"/>
      <c r="L23" s="174"/>
      <c r="M23" s="152"/>
      <c r="N23" s="218"/>
      <c r="O23" s="141"/>
      <c r="P23" s="40"/>
      <c r="Q23" s="9">
        <v>7</v>
      </c>
      <c r="R23" s="103" t="s">
        <v>103</v>
      </c>
      <c r="S23" s="87" t="str">
        <f t="shared" si="0"/>
        <v>Impacto</v>
      </c>
      <c r="T23" s="49" t="s">
        <v>94</v>
      </c>
      <c r="U23" s="49" t="s">
        <v>65</v>
      </c>
      <c r="V23" s="88" t="str">
        <f t="shared" si="1"/>
        <v>25%</v>
      </c>
      <c r="W23" s="111" t="s">
        <v>104</v>
      </c>
      <c r="X23" s="50" t="s">
        <v>105</v>
      </c>
      <c r="Y23" s="104" t="s">
        <v>106</v>
      </c>
      <c r="Z23" s="97">
        <f>IFERROR(IF(AND(S21="Probabilidad",S23="Probabilidad"),(AB21-(+AB21*V23)),IF(S23="Probabilidad",(I17-(+I17*V23)),IF(S23="Impacto",AB21,""))),"")</f>
        <v>0.12096</v>
      </c>
      <c r="AA23" s="98" t="str">
        <f t="shared" si="2"/>
        <v>Muy Baja</v>
      </c>
      <c r="AB23" s="107">
        <f t="shared" si="3"/>
        <v>0.12096</v>
      </c>
      <c r="AC23" s="90" t="str">
        <f t="shared" si="4"/>
        <v>Moderado</v>
      </c>
      <c r="AD23" s="89">
        <f>IFERROR(IF(AND(S22="Impacto",S22="Impacto"),(AD22-(+AD22*V23)),IF(S23="Impacto",(M18-(+M18*V23)),IF(S23="Probabilidad",AD22,""))),"")</f>
        <v>0.421875</v>
      </c>
      <c r="AE23" s="84" t="str">
        <f t="shared" si="14"/>
        <v>Muy Baja - Moderado</v>
      </c>
      <c r="AF23" s="91" t="str">
        <f>+VLOOKUP(AE23,Datos!$J$4:$K$28,2,)</f>
        <v>MODERADO</v>
      </c>
      <c r="AG23" s="221"/>
      <c r="AH23" s="40"/>
      <c r="AI23" s="210"/>
      <c r="AJ23" s="213"/>
      <c r="AK23" s="216"/>
      <c r="AM23" s="230"/>
      <c r="AN23" s="232"/>
      <c r="AO23" s="274"/>
      <c r="AP23" s="261"/>
      <c r="AQ23" s="261"/>
      <c r="AR23" s="42"/>
      <c r="AS23" s="273"/>
      <c r="AT23" s="131" t="s">
        <v>107</v>
      </c>
    </row>
    <row r="24" spans="1:46" ht="189.75" customHeight="1">
      <c r="A24" s="280">
        <v>2</v>
      </c>
      <c r="B24" s="281" t="s">
        <v>58</v>
      </c>
      <c r="C24" s="168" t="s">
        <v>59</v>
      </c>
      <c r="D24" s="168" t="s">
        <v>108</v>
      </c>
      <c r="E24" s="282" t="s">
        <v>109</v>
      </c>
      <c r="F24" s="283"/>
      <c r="G24" s="284">
        <v>9</v>
      </c>
      <c r="H24" s="258" t="str">
        <f>IF(G24&lt;=0,"",IF(G24&lt;=2,"Muy Baja",IF(G24&lt;=24,"Baja",IF(G24&lt;=500,"Media",IF(G24&lt;=5000,"Alta","Muy Alta")))))</f>
        <v>Baja</v>
      </c>
      <c r="I24" s="259">
        <f>IF(H24="","",IF(H24="Muy Baja",0.2,IF(H24="Baja",0.4,IF(H24="Media",0.6,IF(H24="Alta",0.8,IF(H24="Muy Alta",1,))))))</f>
        <v>0.4</v>
      </c>
      <c r="J24" s="184" t="s">
        <v>62</v>
      </c>
      <c r="K24" s="137" t="str">
        <f>+J24</f>
        <v xml:space="preserve">Afectación Mayor a 3000 SMLMV </v>
      </c>
      <c r="L24" s="258" t="str">
        <f>+VLOOKUP(K24,Datos!$O$4:$P$15,2,FALSE)</f>
        <v>Catastrófico</v>
      </c>
      <c r="M24" s="259">
        <f>IF(L24="","",IF(L24="Leve",0.2,IF(L24="Menor",0.4,IF(L24="Moderado",0.6,IF(L24="Mayor",0.8,IF(L24="Catastrófico",1,))))))</f>
        <v>1</v>
      </c>
      <c r="N24" s="175" t="str">
        <f>+CONCATENATE(H24, " - ", L24)</f>
        <v>Baja - Catastrófico</v>
      </c>
      <c r="O24" s="140" t="str">
        <f>+VLOOKUP(N24,Datos!J10:K34,2,)</f>
        <v>EXTREMO</v>
      </c>
      <c r="P24" s="2"/>
      <c r="Q24" s="85">
        <v>1</v>
      </c>
      <c r="R24" s="92" t="s">
        <v>110</v>
      </c>
      <c r="S24" s="51" t="str">
        <f t="shared" ref="S24:S26" si="21">IF(OR(T24="Preventivo",T24="Detectivo"),"Probabilidad",IF(T24="Correctivo","Impacto",""))</f>
        <v>Probabilidad</v>
      </c>
      <c r="T24" s="38" t="s">
        <v>79</v>
      </c>
      <c r="U24" s="38" t="s">
        <v>65</v>
      </c>
      <c r="V24" s="55" t="str">
        <f t="shared" si="1"/>
        <v>40%</v>
      </c>
      <c r="W24" s="39" t="s">
        <v>111</v>
      </c>
      <c r="X24" s="39" t="s">
        <v>112</v>
      </c>
      <c r="Y24" s="101" t="s">
        <v>113</v>
      </c>
      <c r="Z24" s="59">
        <f>IFERROR(IF(S24="Probabilidad",(I24-(+I24*V24)),IF(S24="Impacto",I24,"")),"")</f>
        <v>0.24</v>
      </c>
      <c r="AA24" s="60" t="str">
        <f t="shared" si="2"/>
        <v>Baja</v>
      </c>
      <c r="AB24" s="61">
        <f t="shared" si="3"/>
        <v>0.24</v>
      </c>
      <c r="AC24" s="62" t="str">
        <f t="shared" si="4"/>
        <v>Catastrófico</v>
      </c>
      <c r="AD24" s="59">
        <f>IFERROR(IF(S24="Impacto",(M24-(+M24*V24)),IF(S24="Probabilidad",M24,"")),"")</f>
        <v>1</v>
      </c>
      <c r="AE24" s="63" t="str">
        <f>+CONCATENATE(AA24, " - ", AC24)</f>
        <v>Baja - Catastrófico</v>
      </c>
      <c r="AF24" s="93" t="str">
        <f>+VLOOKUP(AE24,Datos!$J$4:$K$28,2,)</f>
        <v>EXTREMO</v>
      </c>
      <c r="AG24" s="255" t="s">
        <v>114</v>
      </c>
      <c r="AH24" s="2"/>
      <c r="AI24" s="208" t="s">
        <v>115</v>
      </c>
      <c r="AJ24" s="211" t="s">
        <v>71</v>
      </c>
      <c r="AK24" s="214">
        <v>45656</v>
      </c>
      <c r="AM24" s="275">
        <v>45546</v>
      </c>
      <c r="AN24" s="176" t="s">
        <v>116</v>
      </c>
      <c r="AO24" s="157" t="s">
        <v>117</v>
      </c>
      <c r="AP24" s="157" t="s">
        <v>118</v>
      </c>
      <c r="AQ24" s="157" t="s">
        <v>119</v>
      </c>
      <c r="AR24" s="100"/>
      <c r="AS24" s="160" t="s">
        <v>120</v>
      </c>
      <c r="AT24" s="129" t="s">
        <v>121</v>
      </c>
    </row>
    <row r="25" spans="1:46" ht="192.75" customHeight="1">
      <c r="A25" s="278"/>
      <c r="B25" s="276"/>
      <c r="C25" s="233"/>
      <c r="D25" s="233"/>
      <c r="E25" s="233"/>
      <c r="F25" s="154"/>
      <c r="G25" s="285"/>
      <c r="H25" s="247"/>
      <c r="I25" s="150"/>
      <c r="J25" s="184"/>
      <c r="K25" s="137"/>
      <c r="L25" s="247"/>
      <c r="M25" s="150"/>
      <c r="N25" s="175"/>
      <c r="O25" s="140"/>
      <c r="P25" s="2"/>
      <c r="Q25" s="86">
        <v>2</v>
      </c>
      <c r="R25" s="94" t="s">
        <v>122</v>
      </c>
      <c r="S25" s="52" t="str">
        <f t="shared" si="21"/>
        <v>Probabilidad</v>
      </c>
      <c r="T25" s="6" t="s">
        <v>64</v>
      </c>
      <c r="U25" s="6" t="s">
        <v>65</v>
      </c>
      <c r="V25" s="56" t="str">
        <f t="shared" si="1"/>
        <v>30%</v>
      </c>
      <c r="W25" s="10" t="s">
        <v>123</v>
      </c>
      <c r="X25" s="10" t="s">
        <v>124</v>
      </c>
      <c r="Y25" s="10" t="s">
        <v>125</v>
      </c>
      <c r="Z25" s="64">
        <f>IFERROR(IF(AND(S24="Probabilidad",S25="Probabilidad"),(AB24-(+AB24*V25)),IF(S25="Probabilidad",(I24-(+I24*V25)),IF(S25="Impacto",AB24,""))),"")</f>
        <v>0.16799999999999998</v>
      </c>
      <c r="AA25" s="98" t="str">
        <f t="shared" si="2"/>
        <v>Muy Baja</v>
      </c>
      <c r="AB25" s="66">
        <f t="shared" si="3"/>
        <v>0.16799999999999998</v>
      </c>
      <c r="AC25" s="67" t="str">
        <f t="shared" si="4"/>
        <v>Catastrófico</v>
      </c>
      <c r="AD25" s="64">
        <f>IFERROR(IF(AND(S24="Impacto",S24="Impacto"),(AD24-(+AD24*V25)),IF(S25="Impacto",(M24-(+M24*V25)),IF(S25="Probabilidad",AD24,""))),"")</f>
        <v>1</v>
      </c>
      <c r="AE25" s="68" t="str">
        <f t="shared" ref="AE25:AE26" si="22">+CONCATENATE(AA25, " - ", AC25)</f>
        <v>Muy Baja - Catastrófico</v>
      </c>
      <c r="AF25" s="95" t="str">
        <f>+VLOOKUP(AE25,Datos!$J$4:$K$28,2,)</f>
        <v>EXTREMO</v>
      </c>
      <c r="AG25" s="256"/>
      <c r="AH25" s="2"/>
      <c r="AI25" s="209"/>
      <c r="AJ25" s="212"/>
      <c r="AK25" s="215"/>
      <c r="AM25" s="181"/>
      <c r="AN25" s="177"/>
      <c r="AO25" s="158"/>
      <c r="AP25" s="158"/>
      <c r="AQ25" s="158"/>
      <c r="AR25" s="42"/>
      <c r="AS25" s="161"/>
      <c r="AT25" s="131" t="s">
        <v>126</v>
      </c>
    </row>
    <row r="26" spans="1:46" ht="211.5" customHeight="1">
      <c r="A26" s="278"/>
      <c r="B26" s="276"/>
      <c r="C26" s="234"/>
      <c r="D26" s="234"/>
      <c r="E26" s="233"/>
      <c r="F26" s="154"/>
      <c r="G26" s="285"/>
      <c r="H26" s="247"/>
      <c r="I26" s="150"/>
      <c r="J26" s="184"/>
      <c r="K26" s="137"/>
      <c r="L26" s="247"/>
      <c r="M26" s="150"/>
      <c r="N26" s="175"/>
      <c r="O26" s="140"/>
      <c r="P26" s="2"/>
      <c r="Q26" s="86">
        <v>3</v>
      </c>
      <c r="R26" s="112" t="s">
        <v>127</v>
      </c>
      <c r="S26" s="53" t="str">
        <f t="shared" si="21"/>
        <v>Impacto</v>
      </c>
      <c r="T26" s="22" t="s">
        <v>94</v>
      </c>
      <c r="U26" s="22" t="s">
        <v>65</v>
      </c>
      <c r="V26" s="57" t="str">
        <f t="shared" si="1"/>
        <v>25%</v>
      </c>
      <c r="W26" s="23" t="s">
        <v>123</v>
      </c>
      <c r="X26" s="23" t="s">
        <v>128</v>
      </c>
      <c r="Y26" s="23" t="s">
        <v>129</v>
      </c>
      <c r="Z26" s="69">
        <f>IFERROR(IF(AND(S25="Probabilidad",S26="Probabilidad"),(AB25-(+AB25*V26)),IF(S26="Probabilidad",(I24-(+I24*V26)),IF(S26="Impacto",AB25,""))),"")</f>
        <v>0.16799999999999998</v>
      </c>
      <c r="AA26" s="70" t="str">
        <f t="shared" si="2"/>
        <v>Muy Baja</v>
      </c>
      <c r="AB26" s="71">
        <f t="shared" si="3"/>
        <v>0.16799999999999998</v>
      </c>
      <c r="AC26" s="72" t="str">
        <f t="shared" si="4"/>
        <v>Mayor</v>
      </c>
      <c r="AD26" s="69">
        <f>IFERROR(IF(AND(S25="Impacto",S25="Impacto"),(AD25-(+AD25*V26)),IF(S26="Impacto",(M24-(+M24*V26)),IF(S26="Probabilidad",AD25,""))),"")</f>
        <v>0.75</v>
      </c>
      <c r="AE26" s="73" t="str">
        <f t="shared" si="22"/>
        <v>Muy Baja - Mayor</v>
      </c>
      <c r="AF26" s="96" t="str">
        <f>+VLOOKUP(AE26,Datos!$J$4:$K$28,2,)</f>
        <v>ALTO</v>
      </c>
      <c r="AG26" s="257"/>
      <c r="AH26" s="2"/>
      <c r="AI26" s="209"/>
      <c r="AJ26" s="212"/>
      <c r="AK26" s="215"/>
      <c r="AM26" s="182"/>
      <c r="AN26" s="178"/>
      <c r="AO26" s="159"/>
      <c r="AP26" s="159"/>
      <c r="AQ26" s="159"/>
      <c r="AR26" s="83"/>
      <c r="AS26" s="161"/>
      <c r="AT26" s="131" t="s">
        <v>130</v>
      </c>
    </row>
    <row r="27" spans="1:46" ht="255" customHeight="1">
      <c r="A27" s="162">
        <v>3</v>
      </c>
      <c r="B27" s="165" t="s">
        <v>58</v>
      </c>
      <c r="C27" s="168" t="s">
        <v>59</v>
      </c>
      <c r="D27" s="168" t="s">
        <v>131</v>
      </c>
      <c r="E27" s="168" t="s">
        <v>132</v>
      </c>
      <c r="F27" s="153"/>
      <c r="G27" s="165">
        <v>6</v>
      </c>
      <c r="H27" s="172" t="str">
        <f>IF(G27&lt;=0,"",IF(G27&lt;=2,"Muy Baja",IF(G27&lt;=24,"Baja",IF(G27&lt;=500,"Media",IF(G27&lt;=5000,"Alta","Muy Alta")))))</f>
        <v>Baja</v>
      </c>
      <c r="I27" s="149">
        <f>IF(H27="","",IF(H27="Muy Baja",0.2,IF(H27="Baja",0.4,IF(H27="Media",0.6,IF(H27="Alta",0.8,IF(H27="Muy Alta",1,))))))</f>
        <v>0.4</v>
      </c>
      <c r="J27" s="183" t="s">
        <v>62</v>
      </c>
      <c r="K27" s="136" t="str">
        <f>+J27</f>
        <v xml:space="preserve">Afectación Mayor a 3000 SMLMV </v>
      </c>
      <c r="L27" s="172" t="str">
        <f>+VLOOKUP(K27,Datos!$O$4:$P$15,2,FALSE)</f>
        <v>Catastrófico</v>
      </c>
      <c r="M27" s="149">
        <f>IF(L27="","",IF(L27="Leve",0.2,IF(L27="Menor",0.4,IF(L27="Moderado",0.6,IF(L27="Mayor",0.8,IF(L27="Catastrófico",1,))))))</f>
        <v>1</v>
      </c>
      <c r="N27" s="217" t="str">
        <f>+CONCATENATE(H27, " - ", L27)</f>
        <v>Baja - Catastrófico</v>
      </c>
      <c r="O27" s="139" t="str">
        <f>+VLOOKUP(N27,Datos!J4:K28,2,FALSE)</f>
        <v>EXTREMO</v>
      </c>
      <c r="P27" s="2"/>
      <c r="Q27" s="21">
        <v>1</v>
      </c>
      <c r="R27" s="127" t="s">
        <v>133</v>
      </c>
      <c r="S27" s="54" t="str">
        <f t="shared" ref="S27:S29" si="23">IF(OR(T27="Preventivo",T27="Detectivo"),"Probabilidad",IF(T27="Correctivo","Impacto",""))</f>
        <v>Probabilidad</v>
      </c>
      <c r="T27" s="35" t="s">
        <v>79</v>
      </c>
      <c r="U27" s="35" t="s">
        <v>65</v>
      </c>
      <c r="V27" s="58" t="str">
        <f t="shared" ref="V27:V29" si="24">IF(AND(T27="Preventivo",U27="Automático"),"50%",IF(AND(T27="Preventivo",U27="Manual"),"40%",IF(AND(T27="Detectivo",U27="Automático"),"40%",IF(AND(T27="Detectivo",U27="Manual"),"30%",IF(AND(T27="Correctivo",U27="Automático"),"35%",IF(AND(T27="Correctivo",U27="Manual"),"25%",""))))))</f>
        <v>40%</v>
      </c>
      <c r="W27" s="36" t="s">
        <v>134</v>
      </c>
      <c r="X27" s="36" t="s">
        <v>135</v>
      </c>
      <c r="Y27" s="36" t="s">
        <v>136</v>
      </c>
      <c r="Z27" s="74">
        <f>IFERROR(IF(S27="Probabilidad",(I27-(+I27*V27)),IF(S27="Impacto",I27,"")),"")</f>
        <v>0.24</v>
      </c>
      <c r="AA27" s="75" t="str">
        <f t="shared" ref="AA27:AA31" si="25">IFERROR(IF(Z27="","",IF(Z27&lt;=0.2,"Muy Baja",IF(Z27&lt;=0.4,"Baja",IF(Z27&lt;=0.6,"Media",IF(Z27&lt;=0.8,"Alta","Muy Alta"))))),"")</f>
        <v>Baja</v>
      </c>
      <c r="AB27" s="76">
        <f t="shared" ref="AB27:AB31" si="26">+Z27</f>
        <v>0.24</v>
      </c>
      <c r="AC27" s="77" t="str">
        <f t="shared" ref="AC27:AC31" si="27">IFERROR(IF(AD27="","",IF(AD27&lt;=0.2,"Leve",IF(AD27&lt;=0.4,"Menor",IF(AD27&lt;=0.6,"Moderado",IF(AD27&lt;=0.8,"Mayor","Catastrófico"))))),"")</f>
        <v>Catastrófico</v>
      </c>
      <c r="AD27" s="74">
        <f>IFERROR(IF(S27="Impacto",(M27-(+M27*V27)),IF(S27="Probabilidad",M27,"")),"")</f>
        <v>1</v>
      </c>
      <c r="AE27" s="78" t="str">
        <f>+CONCATENATE(AA27, " - ", AC27)</f>
        <v>Baja - Catastrófico</v>
      </c>
      <c r="AF27" s="81" t="str">
        <f>+VLOOKUP(AE27,Datos!$J$4:$K$28,2,)</f>
        <v>EXTREMO</v>
      </c>
      <c r="AG27" s="179" t="s">
        <v>114</v>
      </c>
      <c r="AH27" s="2"/>
      <c r="AI27" s="208" t="s">
        <v>137</v>
      </c>
      <c r="AJ27" s="249" t="s">
        <v>71</v>
      </c>
      <c r="AK27" s="252">
        <v>45534</v>
      </c>
      <c r="AM27" s="181"/>
      <c r="AN27" s="177" t="s">
        <v>138</v>
      </c>
      <c r="AO27" s="177" t="s">
        <v>139</v>
      </c>
      <c r="AP27" s="157" t="s">
        <v>74</v>
      </c>
      <c r="AQ27" s="176" t="s">
        <v>140</v>
      </c>
      <c r="AR27" s="42"/>
      <c r="AS27" s="186" t="s">
        <v>141</v>
      </c>
      <c r="AT27" s="132" t="s">
        <v>121</v>
      </c>
    </row>
    <row r="28" spans="1:46" ht="255" customHeight="1">
      <c r="A28" s="163"/>
      <c r="B28" s="166"/>
      <c r="C28" s="169"/>
      <c r="D28" s="169"/>
      <c r="E28" s="169"/>
      <c r="F28" s="171"/>
      <c r="G28" s="166"/>
      <c r="H28" s="173"/>
      <c r="I28" s="175"/>
      <c r="J28" s="184"/>
      <c r="K28" s="137"/>
      <c r="L28" s="173"/>
      <c r="M28" s="175"/>
      <c r="N28" s="175"/>
      <c r="O28" s="140"/>
      <c r="P28" s="2"/>
      <c r="Q28" s="113">
        <v>2</v>
      </c>
      <c r="R28" s="103" t="s">
        <v>89</v>
      </c>
      <c r="S28" s="52" t="str">
        <f t="shared" si="23"/>
        <v>Probabilidad</v>
      </c>
      <c r="T28" s="49" t="s">
        <v>79</v>
      </c>
      <c r="U28" s="49" t="s">
        <v>65</v>
      </c>
      <c r="V28" s="56" t="str">
        <f t="shared" si="24"/>
        <v>40%</v>
      </c>
      <c r="W28" s="36" t="s">
        <v>90</v>
      </c>
      <c r="X28" s="36" t="s">
        <v>86</v>
      </c>
      <c r="Y28" s="36" t="s">
        <v>91</v>
      </c>
      <c r="Z28" s="64">
        <f>IFERROR(IF(AND(S27="Probabilidad",S28="Probabilidad"),(AB27-(+AB27*V28)),IF(S28="Probabilidad",(I27-(+I27*V28)),IF(S28="Impacto",AB27,""))),"")</f>
        <v>0.14399999999999999</v>
      </c>
      <c r="AA28" s="75" t="str">
        <f t="shared" ref="AA28" si="28">IFERROR(IF(Z28="","",IF(Z28&lt;=0.2,"Muy Baja",IF(Z28&lt;=0.4,"Baja",IF(Z28&lt;=0.6,"Media",IF(Z28&lt;=0.8,"Alta","Muy Alta"))))),"")</f>
        <v>Muy Baja</v>
      </c>
      <c r="AB28" s="66">
        <f t="shared" ref="AB28" si="29">+Z28</f>
        <v>0.14399999999999999</v>
      </c>
      <c r="AC28" s="67" t="str">
        <f t="shared" ref="AC28" si="30">IFERROR(IF(AD28="","",IF(AD28&lt;=0.2,"Leve",IF(AD28&lt;=0.4,"Menor",IF(AD28&lt;=0.6,"Moderado",IF(AD28&lt;=0.8,"Mayor","Catastrófico"))))),"")</f>
        <v>Catastrófico</v>
      </c>
      <c r="AD28" s="64">
        <f>IFERROR(IF(AND(S27="Impacto",S27="Impacto"),(AD27-(+AD27*V28)),IF(S28="Impacto",(M27-(+M27*V28)),IF(S28="Probabilidad",AD27,""))),"")</f>
        <v>1</v>
      </c>
      <c r="AE28" s="68" t="str">
        <f t="shared" ref="AE28" si="31">+CONCATENATE(AA28, " - ", AC28)</f>
        <v>Muy Baja - Catastrófico</v>
      </c>
      <c r="AF28" s="80" t="str">
        <f>+VLOOKUP(AE28,Datos!$J$4:$K$28,2,)</f>
        <v>EXTREMO</v>
      </c>
      <c r="AG28" s="179"/>
      <c r="AH28" s="2"/>
      <c r="AI28" s="209"/>
      <c r="AJ28" s="250"/>
      <c r="AK28" s="253"/>
      <c r="AM28" s="181"/>
      <c r="AN28" s="177"/>
      <c r="AO28" s="177"/>
      <c r="AP28" s="158"/>
      <c r="AQ28" s="177"/>
      <c r="AR28" s="42"/>
      <c r="AS28" s="186"/>
      <c r="AT28" s="133" t="s">
        <v>142</v>
      </c>
    </row>
    <row r="29" spans="1:46" ht="255" customHeight="1">
      <c r="A29" s="163"/>
      <c r="B29" s="166"/>
      <c r="C29" s="169"/>
      <c r="D29" s="169"/>
      <c r="E29" s="169"/>
      <c r="F29" s="171"/>
      <c r="G29" s="166"/>
      <c r="H29" s="173"/>
      <c r="I29" s="175"/>
      <c r="J29" s="184"/>
      <c r="K29" s="137"/>
      <c r="L29" s="173"/>
      <c r="M29" s="175"/>
      <c r="N29" s="175"/>
      <c r="O29" s="140"/>
      <c r="P29" s="2"/>
      <c r="Q29" s="113">
        <v>3</v>
      </c>
      <c r="R29" s="102" t="s">
        <v>143</v>
      </c>
      <c r="S29" s="52" t="str">
        <f t="shared" si="23"/>
        <v>Probabilidad</v>
      </c>
      <c r="T29" s="6" t="s">
        <v>79</v>
      </c>
      <c r="U29" s="6" t="s">
        <v>65</v>
      </c>
      <c r="V29" s="56" t="str">
        <f t="shared" si="24"/>
        <v>40%</v>
      </c>
      <c r="W29" s="10" t="s">
        <v>144</v>
      </c>
      <c r="X29" s="10" t="s">
        <v>145</v>
      </c>
      <c r="Y29" s="10" t="s">
        <v>82</v>
      </c>
      <c r="Z29" s="64">
        <f>IFERROR(IF(AND(S28="Probabilidad",S29="Probabilidad"),(AB28-(+AB28*V29)),IF(S29="Probabilidad",(I27-(+I27*V29)),IF(S29="Impacto",AB28,""))),"")</f>
        <v>8.6399999999999991E-2</v>
      </c>
      <c r="AA29" s="75" t="str">
        <f t="shared" ref="AA29" si="32">IFERROR(IF(Z29="","",IF(Z29&lt;=0.2,"Muy Baja",IF(Z29&lt;=0.4,"Baja",IF(Z29&lt;=0.6,"Media",IF(Z29&lt;=0.8,"Alta","Muy Alta"))))),"")</f>
        <v>Muy Baja</v>
      </c>
      <c r="AB29" s="64">
        <f t="shared" ref="AB29" si="33">+Z29</f>
        <v>8.6399999999999991E-2</v>
      </c>
      <c r="AC29" s="67" t="str">
        <f t="shared" ref="AC29" si="34">IFERROR(IF(AD29="","",IF(AD29&lt;=0.2,"Leve",IF(AD29&lt;=0.4,"Menor",IF(AD29&lt;=0.6,"Moderado",IF(AD29&lt;=0.8,"Mayor","Catastrófico"))))),"")</f>
        <v>Catastrófico</v>
      </c>
      <c r="AD29" s="64">
        <f>IFERROR(IF(AND(S28="Impacto",S28="Impacto"),(AD28-(+AD28*V29)),IF(S29="Impacto",(M27-(+M27*V29)),IF(S29="Probabilidad",AD28,""))),"")</f>
        <v>1</v>
      </c>
      <c r="AE29" s="68" t="str">
        <f t="shared" ref="AE29" si="35">+CONCATENATE(AA29, " - ", AC29)</f>
        <v>Muy Baja - Catastrófico</v>
      </c>
      <c r="AF29" s="80" t="str">
        <f>+VLOOKUP(AE29,Datos!$J$4:$K$28,2,)</f>
        <v>EXTREMO</v>
      </c>
      <c r="AG29" s="179"/>
      <c r="AH29" s="2"/>
      <c r="AI29" s="210"/>
      <c r="AJ29" s="251"/>
      <c r="AK29" s="254"/>
      <c r="AM29" s="181"/>
      <c r="AN29" s="177"/>
      <c r="AO29" s="177"/>
      <c r="AP29" s="158"/>
      <c r="AQ29" s="177"/>
      <c r="AR29" s="42"/>
      <c r="AS29" s="186"/>
      <c r="AT29" s="134" t="s">
        <v>146</v>
      </c>
    </row>
    <row r="30" spans="1:46" ht="255" customHeight="1">
      <c r="A30" s="163"/>
      <c r="B30" s="166"/>
      <c r="C30" s="169"/>
      <c r="D30" s="169"/>
      <c r="E30" s="169"/>
      <c r="F30" s="171"/>
      <c r="G30" s="166"/>
      <c r="H30" s="173"/>
      <c r="I30" s="175"/>
      <c r="J30" s="184"/>
      <c r="K30" s="137"/>
      <c r="L30" s="173"/>
      <c r="M30" s="175"/>
      <c r="N30" s="175"/>
      <c r="O30" s="140"/>
      <c r="P30" s="2"/>
      <c r="Q30" s="113">
        <v>4</v>
      </c>
      <c r="R30" s="99" t="s">
        <v>147</v>
      </c>
      <c r="S30" s="52" t="str">
        <f t="shared" ref="S30:S34" si="36">IF(OR(T30="Preventivo",T30="Detectivo"),"Probabilidad",IF(T30="Correctivo","Impacto",""))</f>
        <v>Impacto</v>
      </c>
      <c r="T30" s="6" t="s">
        <v>94</v>
      </c>
      <c r="U30" s="6" t="s">
        <v>65</v>
      </c>
      <c r="V30" s="56" t="str">
        <f t="shared" ref="V30:V34" si="37">IF(AND(T30="Preventivo",U30="Automático"),"50%",IF(AND(T30="Preventivo",U30="Manual"),"40%",IF(AND(T30="Detectivo",U30="Automático"),"40%",IF(AND(T30="Detectivo",U30="Manual"),"30%",IF(AND(T30="Correctivo",U30="Automático"),"35%",IF(AND(T30="Correctivo",U30="Manual"),"25%",""))))))</f>
        <v>25%</v>
      </c>
      <c r="W30" s="36" t="s">
        <v>134</v>
      </c>
      <c r="X30" s="10" t="s">
        <v>148</v>
      </c>
      <c r="Y30" s="10" t="s">
        <v>129</v>
      </c>
      <c r="Z30" s="64">
        <f>IFERROR(IF(AND(S29="Probabilidad",S30="Probabilidad"),(AB29-(+AB29*V30)),IF(S30="Probabilidad",(I27-(+I27*V30)),IF(S30="Impacto",AB29,""))),"")</f>
        <v>8.6399999999999991E-2</v>
      </c>
      <c r="AA30" s="65" t="str">
        <f t="shared" ref="AA30" si="38">IFERROR(IF(Z30="","",IF(Z30&lt;=0.2,"Muy Baja",IF(Z30&lt;=0.4,"Baja",IF(Z30&lt;=0.6,"Media",IF(Z30&lt;=0.8,"Alta","Muy Alta"))))),"")</f>
        <v>Muy Baja</v>
      </c>
      <c r="AB30" s="64">
        <f t="shared" ref="AB30" si="39">+Z30</f>
        <v>8.6399999999999991E-2</v>
      </c>
      <c r="AC30" s="67" t="str">
        <f t="shared" ref="AC30" si="40">IFERROR(IF(AD30="","",IF(AD30&lt;=0.2,"Leve",IF(AD30&lt;=0.4,"Menor",IF(AD30&lt;=0.6,"Moderado",IF(AD30&lt;=0.8,"Mayor","Catastrófico"))))),"")</f>
        <v>Mayor</v>
      </c>
      <c r="AD30" s="64">
        <f>IFERROR(IF(AND(S29="Impacto",S29="Impacto"),(AD29-(+AD29*V30)),IF(S30="Impacto",(M27-(+M27*V30)),IF(S30="Probabilidad",AD29,""))),"")</f>
        <v>0.75</v>
      </c>
      <c r="AE30" s="68" t="str">
        <f t="shared" ref="AE30" si="41">+CONCATENATE(AA30, " - ", AC30)</f>
        <v>Muy Baja - Mayor</v>
      </c>
      <c r="AF30" s="80" t="str">
        <f>+VLOOKUP(AE30,Datos!$J$4:$K$28,2,)</f>
        <v>ALTO</v>
      </c>
      <c r="AG30" s="179"/>
      <c r="AH30" s="2"/>
      <c r="AI30" s="208" t="s">
        <v>149</v>
      </c>
      <c r="AJ30" s="249" t="s">
        <v>71</v>
      </c>
      <c r="AK30" s="252">
        <v>45412</v>
      </c>
      <c r="AM30" s="181"/>
      <c r="AN30" s="177"/>
      <c r="AO30" s="177"/>
      <c r="AP30" s="158"/>
      <c r="AQ30" s="177"/>
      <c r="AR30" s="42"/>
      <c r="AS30" s="186"/>
      <c r="AT30" s="134" t="s">
        <v>150</v>
      </c>
    </row>
    <row r="31" spans="1:46" ht="255" customHeight="1">
      <c r="A31" s="164"/>
      <c r="B31" s="167"/>
      <c r="C31" s="170"/>
      <c r="D31" s="170"/>
      <c r="E31" s="170"/>
      <c r="F31" s="156"/>
      <c r="G31" s="167"/>
      <c r="H31" s="174"/>
      <c r="I31" s="152"/>
      <c r="J31" s="185"/>
      <c r="K31" s="138"/>
      <c r="L31" s="174"/>
      <c r="M31" s="152"/>
      <c r="N31" s="218"/>
      <c r="O31" s="141"/>
      <c r="P31" s="2"/>
      <c r="Q31" s="9">
        <v>5</v>
      </c>
      <c r="R31" s="128" t="s">
        <v>151</v>
      </c>
      <c r="S31" s="87" t="str">
        <f t="shared" si="36"/>
        <v>Impacto</v>
      </c>
      <c r="T31" s="49" t="s">
        <v>94</v>
      </c>
      <c r="U31" s="49" t="s">
        <v>65</v>
      </c>
      <c r="V31" s="88" t="str">
        <f t="shared" si="37"/>
        <v>25%</v>
      </c>
      <c r="W31" s="111" t="s">
        <v>104</v>
      </c>
      <c r="X31" s="50" t="s">
        <v>105</v>
      </c>
      <c r="Y31" s="104" t="s">
        <v>106</v>
      </c>
      <c r="Z31" s="89">
        <f>IFERROR(IF(AND(S28="Probabilidad",S31="Probabilidad"),(AB28-(+AB28*V31)),IF(S31="Probabilidad",(I27-(+I27*V31)),IF(S31="Impacto",AB28,""))),"")</f>
        <v>0.14399999999999999</v>
      </c>
      <c r="AA31" s="98" t="str">
        <f t="shared" si="25"/>
        <v>Muy Baja</v>
      </c>
      <c r="AB31" s="119">
        <f t="shared" si="26"/>
        <v>0.14399999999999999</v>
      </c>
      <c r="AC31" s="109" t="str">
        <f t="shared" si="27"/>
        <v>Moderado</v>
      </c>
      <c r="AD31" s="89">
        <f>IFERROR(IF(AND(S30="Impacto",S30="Impacto"),(AD30-(+AD30*V31)),IF(S31="Impacto",(M27-(+M27*V31)),IF(S31="Probabilidad",AD27,""))),"")</f>
        <v>0.5625</v>
      </c>
      <c r="AE31" s="84" t="str">
        <f t="shared" ref="AE31" si="42">+CONCATENATE(AA31, " - ", AC31)</f>
        <v>Muy Baja - Moderado</v>
      </c>
      <c r="AF31" s="110" t="str">
        <f>+VLOOKUP(AE31,Datos!$J$4:$K$28,2,)</f>
        <v>MODERADO</v>
      </c>
      <c r="AG31" s="180"/>
      <c r="AH31" s="2"/>
      <c r="AI31" s="210"/>
      <c r="AJ31" s="251"/>
      <c r="AK31" s="254"/>
      <c r="AL31" s="82"/>
      <c r="AM31" s="182"/>
      <c r="AN31" s="178"/>
      <c r="AO31" s="178"/>
      <c r="AP31" s="159"/>
      <c r="AQ31" s="178"/>
      <c r="AR31" s="83"/>
      <c r="AS31" s="186"/>
      <c r="AT31" s="132" t="s">
        <v>152</v>
      </c>
    </row>
    <row r="32" spans="1:46" ht="409.6">
      <c r="A32" s="162">
        <v>4</v>
      </c>
      <c r="B32" s="165" t="s">
        <v>58</v>
      </c>
      <c r="C32" s="168" t="s">
        <v>59</v>
      </c>
      <c r="D32" s="168" t="s">
        <v>153</v>
      </c>
      <c r="E32" s="168" t="s">
        <v>154</v>
      </c>
      <c r="F32" s="153"/>
      <c r="G32" s="286">
        <v>24</v>
      </c>
      <c r="H32" s="172" t="str">
        <f>IF(G32&lt;=0,"",IF(G32&lt;=2,"Muy Baja",IF(G32&lt;=24,"Baja",IF(G32&lt;=500,"Media",IF(G32&lt;=5000,"Alta","Muy Alta")))))</f>
        <v>Baja</v>
      </c>
      <c r="I32" s="149">
        <f>IF(H32="","",IF(H32="Muy Baja",0.2,IF(H32="Baja",0.4,IF(H32="Media",0.6,IF(H32="Alta",0.8,IF(H32="Muy Alta",1,))))))</f>
        <v>0.4</v>
      </c>
      <c r="J32" s="183" t="s">
        <v>62</v>
      </c>
      <c r="K32" s="136" t="str">
        <f>+J32</f>
        <v xml:space="preserve">Afectación Mayor a 3000 SMLMV </v>
      </c>
      <c r="L32" s="172" t="str">
        <f>+VLOOKUP(K32,Datos!$O$4:$P$15,2,FALSE)</f>
        <v>Catastrófico</v>
      </c>
      <c r="M32" s="149">
        <f>IF(L32="","",IF(L32="Leve",0.2,IF(L32="Menor",0.4,IF(L32="Moderado",0.6,IF(L32="Mayor",0.8,IF(L32="Catastrófico",1,))))))</f>
        <v>1</v>
      </c>
      <c r="N32" s="217" t="str">
        <f>+CONCATENATE(H32, " - ", L32)</f>
        <v>Baja - Catastrófico</v>
      </c>
      <c r="O32" s="139" t="str">
        <f>+VLOOKUP(N32,Datos!J9:K33,2,FALSE)</f>
        <v>EXTREMO</v>
      </c>
      <c r="P32" s="2"/>
      <c r="Q32" s="108">
        <v>1</v>
      </c>
      <c r="R32" s="92" t="s">
        <v>155</v>
      </c>
      <c r="S32" s="51" t="str">
        <f t="shared" si="36"/>
        <v>Probabilidad</v>
      </c>
      <c r="T32" s="38" t="s">
        <v>79</v>
      </c>
      <c r="U32" s="38" t="s">
        <v>65</v>
      </c>
      <c r="V32" s="55" t="str">
        <f t="shared" si="37"/>
        <v>40%</v>
      </c>
      <c r="W32" s="39" t="s">
        <v>156</v>
      </c>
      <c r="X32" s="39" t="s">
        <v>157</v>
      </c>
      <c r="Y32" s="39" t="s">
        <v>91</v>
      </c>
      <c r="Z32" s="59">
        <f>IFERROR(IF(S32="Probabilidad",(I32-(+I32*V32)),IF(S32="Impacto",I32,"")),"")</f>
        <v>0.24</v>
      </c>
      <c r="AA32" s="60" t="str">
        <f t="shared" ref="AA32:AA37" si="43">IFERROR(IF(Z32="","",IF(Z32&lt;=0.2,"Muy Baja",IF(Z32&lt;=0.4,"Baja",IF(Z32&lt;=0.6,"Media",IF(Z32&lt;=0.8,"Alta","Muy Alta"))))),"")</f>
        <v>Baja</v>
      </c>
      <c r="AB32" s="59">
        <f t="shared" ref="AB32:AB37" si="44">+Z32</f>
        <v>0.24</v>
      </c>
      <c r="AC32" s="62" t="str">
        <f t="shared" ref="AC32:AC37" si="45">IFERROR(IF(AD32="","",IF(AD32&lt;=0.2,"Leve",IF(AD32&lt;=0.4,"Menor",IF(AD32&lt;=0.6,"Moderado",IF(AD32&lt;=0.8,"Mayor","Catastrófico"))))),"")</f>
        <v>Catastrófico</v>
      </c>
      <c r="AD32" s="59">
        <f>IFERROR(IF(S32="Impacto",(M32-(+M32*V32)),IF(S32="Probabilidad",M32,"")),"")</f>
        <v>1</v>
      </c>
      <c r="AE32" s="63" t="str">
        <f>+CONCATENATE(AA32, " - ", AC32)</f>
        <v>Baja - Catastrófico</v>
      </c>
      <c r="AF32" s="79" t="str">
        <f>+VLOOKUP(AE32,Datos!$J$4:$K$28,2,)</f>
        <v>EXTREMO</v>
      </c>
      <c r="AG32" s="219" t="s">
        <v>114</v>
      </c>
      <c r="AH32" s="2"/>
      <c r="AI32" s="208" t="s">
        <v>158</v>
      </c>
      <c r="AJ32" s="211" t="s">
        <v>71</v>
      </c>
      <c r="AK32" s="214" t="s">
        <v>159</v>
      </c>
      <c r="AM32" s="181"/>
      <c r="AN32" s="289"/>
      <c r="AO32" s="289"/>
      <c r="AP32" s="291"/>
      <c r="AQ32" s="294"/>
      <c r="AR32" s="42"/>
      <c r="AS32" s="295" t="s">
        <v>160</v>
      </c>
      <c r="AT32" s="135" t="s">
        <v>161</v>
      </c>
    </row>
    <row r="33" spans="1:46" ht="409.6">
      <c r="A33" s="163"/>
      <c r="B33" s="166"/>
      <c r="C33" s="169"/>
      <c r="D33" s="169"/>
      <c r="E33" s="169"/>
      <c r="F33" s="171"/>
      <c r="G33" s="287"/>
      <c r="H33" s="173"/>
      <c r="I33" s="175"/>
      <c r="J33" s="184"/>
      <c r="K33" s="137"/>
      <c r="L33" s="173"/>
      <c r="M33" s="175"/>
      <c r="N33" s="175"/>
      <c r="O33" s="140"/>
      <c r="P33" s="2"/>
      <c r="Q33" s="117">
        <v>2</v>
      </c>
      <c r="R33" s="120" t="s">
        <v>162</v>
      </c>
      <c r="S33" s="52" t="str">
        <f t="shared" si="36"/>
        <v>Probabilidad</v>
      </c>
      <c r="T33" s="49" t="s">
        <v>79</v>
      </c>
      <c r="U33" s="49" t="s">
        <v>65</v>
      </c>
      <c r="V33" s="56" t="str">
        <f t="shared" si="37"/>
        <v>40%</v>
      </c>
      <c r="W33" s="36" t="s">
        <v>156</v>
      </c>
      <c r="X33" s="36" t="s">
        <v>157</v>
      </c>
      <c r="Y33" s="36" t="s">
        <v>91</v>
      </c>
      <c r="Z33" s="64">
        <f>IFERROR(IF(AND(S32="Probabilidad",S33="Probabilidad"),(AB32-(+AB32*V33)),IF(S33="Probabilidad",(I32-(+I32*V33)),IF(S33="Impacto",AB32,""))),"")</f>
        <v>0.14399999999999999</v>
      </c>
      <c r="AA33" s="75" t="str">
        <f t="shared" si="43"/>
        <v>Muy Baja</v>
      </c>
      <c r="AB33" s="64">
        <f t="shared" si="44"/>
        <v>0.14399999999999999</v>
      </c>
      <c r="AC33" s="67" t="str">
        <f t="shared" si="45"/>
        <v>Catastrófico</v>
      </c>
      <c r="AD33" s="64">
        <f>IFERROR(IF(AND(S32="Impacto",S32="Impacto"),(AD32-(+AD32*V33)),IF(S33="Impacto",(M32-(+M32*V33)),IF(S33="Probabilidad",AD32,""))),"")</f>
        <v>1</v>
      </c>
      <c r="AE33" s="68" t="str">
        <f t="shared" ref="AE33:AE37" si="46">+CONCATENATE(AA33, " - ", AC33)</f>
        <v>Muy Baja - Catastrófico</v>
      </c>
      <c r="AF33" s="80" t="str">
        <f>+VLOOKUP(AE33,Datos!$J$4:$K$28,2,)</f>
        <v>EXTREMO</v>
      </c>
      <c r="AG33" s="179"/>
      <c r="AH33" s="2"/>
      <c r="AI33" s="209"/>
      <c r="AJ33" s="212"/>
      <c r="AK33" s="297"/>
      <c r="AM33" s="181"/>
      <c r="AN33" s="289"/>
      <c r="AO33" s="289"/>
      <c r="AP33" s="292"/>
      <c r="AQ33" s="289"/>
      <c r="AR33" s="42"/>
      <c r="AS33" s="295"/>
      <c r="AT33" s="131" t="s">
        <v>163</v>
      </c>
    </row>
    <row r="34" spans="1:46" ht="183.75" customHeight="1">
      <c r="A34" s="163"/>
      <c r="B34" s="166"/>
      <c r="C34" s="169"/>
      <c r="D34" s="169"/>
      <c r="E34" s="169"/>
      <c r="F34" s="171"/>
      <c r="G34" s="287"/>
      <c r="H34" s="173"/>
      <c r="I34" s="175"/>
      <c r="J34" s="184"/>
      <c r="K34" s="137"/>
      <c r="L34" s="173"/>
      <c r="M34" s="175"/>
      <c r="N34" s="175"/>
      <c r="O34" s="140"/>
      <c r="P34" s="2"/>
      <c r="Q34" s="86">
        <v>3</v>
      </c>
      <c r="R34" s="121" t="s">
        <v>164</v>
      </c>
      <c r="S34" s="52" t="str">
        <f t="shared" si="36"/>
        <v>Probabilidad</v>
      </c>
      <c r="T34" s="49" t="s">
        <v>79</v>
      </c>
      <c r="U34" s="49" t="s">
        <v>65</v>
      </c>
      <c r="V34" s="56" t="str">
        <f t="shared" si="37"/>
        <v>40%</v>
      </c>
      <c r="W34" s="36" t="s">
        <v>90</v>
      </c>
      <c r="X34" s="36" t="s">
        <v>86</v>
      </c>
      <c r="Y34" s="36" t="s">
        <v>91</v>
      </c>
      <c r="Z34" s="64">
        <f>IFERROR(IF(AND(S33="Probabilidad",S34="Probabilidad"),(AB33-(+AB33*V34)),IF(S34="Probabilidad",(I32-(+I32*V34)),IF(S34="Impacto",AB33,""))),"")</f>
        <v>8.6399999999999991E-2</v>
      </c>
      <c r="AA34" s="75" t="str">
        <f t="shared" si="43"/>
        <v>Muy Baja</v>
      </c>
      <c r="AB34" s="64">
        <f t="shared" si="44"/>
        <v>8.6399999999999991E-2</v>
      </c>
      <c r="AC34" s="67" t="str">
        <f t="shared" si="45"/>
        <v>Catastrófico</v>
      </c>
      <c r="AD34" s="64">
        <f>IFERROR(IF(AND(S33="Impacto",S33="Impacto"),(AD33-(+AD33*V34)),IF(S34="Impacto",(M32-(+M32*V34)),IF(S34="Probabilidad",AD33,""))),"")</f>
        <v>1</v>
      </c>
      <c r="AE34" s="68" t="str">
        <f t="shared" si="46"/>
        <v>Muy Baja - Catastrófico</v>
      </c>
      <c r="AF34" s="80" t="str">
        <f>+VLOOKUP(AE34,Datos!$J$4:$K$28,2,)</f>
        <v>EXTREMO</v>
      </c>
      <c r="AG34" s="179"/>
      <c r="AH34" s="2"/>
      <c r="AI34" s="209"/>
      <c r="AJ34" s="212"/>
      <c r="AK34" s="297"/>
      <c r="AM34" s="181"/>
      <c r="AN34" s="289"/>
      <c r="AO34" s="289"/>
      <c r="AP34" s="292"/>
      <c r="AQ34" s="289"/>
      <c r="AR34" s="42"/>
      <c r="AS34" s="295"/>
      <c r="AT34" s="131" t="s">
        <v>165</v>
      </c>
    </row>
    <row r="35" spans="1:46" ht="159.75" customHeight="1">
      <c r="A35" s="163"/>
      <c r="B35" s="166"/>
      <c r="C35" s="169"/>
      <c r="D35" s="169"/>
      <c r="E35" s="169"/>
      <c r="F35" s="171"/>
      <c r="G35" s="287"/>
      <c r="H35" s="173"/>
      <c r="I35" s="175"/>
      <c r="J35" s="184"/>
      <c r="K35" s="137"/>
      <c r="L35" s="173"/>
      <c r="M35" s="175"/>
      <c r="N35" s="175"/>
      <c r="O35" s="140"/>
      <c r="P35" s="2"/>
      <c r="Q35" s="123">
        <v>4</v>
      </c>
      <c r="R35" s="94" t="s">
        <v>166</v>
      </c>
      <c r="S35" s="52" t="str">
        <f t="shared" ref="S35:S37" si="47">IF(OR(T35="Preventivo",T35="Detectivo"),"Probabilidad",IF(T35="Correctivo","Impacto",""))</f>
        <v>Probabilidad</v>
      </c>
      <c r="T35" s="6" t="s">
        <v>64</v>
      </c>
      <c r="U35" s="6" t="s">
        <v>65</v>
      </c>
      <c r="V35" s="56" t="str">
        <f t="shared" ref="V35:V37" si="48">IF(AND(T35="Preventivo",U35="Automático"),"50%",IF(AND(T35="Preventivo",U35="Manual"),"40%",IF(AND(T35="Detectivo",U35="Automático"),"40%",IF(AND(T35="Detectivo",U35="Manual"),"30%",IF(AND(T35="Correctivo",U35="Automático"),"35%",IF(AND(T35="Correctivo",U35="Manual"),"25%",""))))))</f>
        <v>30%</v>
      </c>
      <c r="W35" s="36" t="s">
        <v>156</v>
      </c>
      <c r="X35" s="10" t="s">
        <v>96</v>
      </c>
      <c r="Y35" s="10" t="s">
        <v>167</v>
      </c>
      <c r="Z35" s="64">
        <f>IFERROR(IF(AND(S34="Probabilidad",S35="Probabilidad"),(AB34-(+AB34*V35)),IF(S35="Probabilidad",(I32-(+I32*V35)),IF(S35="Impacto",AB34,""))),"")</f>
        <v>6.0479999999999992E-2</v>
      </c>
      <c r="AA35" s="65" t="str">
        <f t="shared" si="43"/>
        <v>Muy Baja</v>
      </c>
      <c r="AB35" s="64">
        <f t="shared" si="44"/>
        <v>6.0479999999999992E-2</v>
      </c>
      <c r="AC35" s="67" t="str">
        <f t="shared" si="45"/>
        <v>Catastrófico</v>
      </c>
      <c r="AD35" s="64">
        <f>IFERROR(IF(AND(S34="Impacto",S34="Impacto"),(AD34-(+AD34*V35)),IF(S35="Impacto",(M32-(+M32*V35)),IF(S35="Probabilidad",AD34,""))),"")</f>
        <v>1</v>
      </c>
      <c r="AE35" s="68" t="str">
        <f t="shared" si="46"/>
        <v>Muy Baja - Catastrófico</v>
      </c>
      <c r="AF35" s="80" t="str">
        <f>+VLOOKUP(AE35,Datos!$J$4:$K$28,2,)</f>
        <v>EXTREMO</v>
      </c>
      <c r="AG35" s="179"/>
      <c r="AH35" s="2"/>
      <c r="AI35" s="209"/>
      <c r="AJ35" s="212"/>
      <c r="AK35" s="297"/>
      <c r="AM35" s="181"/>
      <c r="AN35" s="289"/>
      <c r="AO35" s="289"/>
      <c r="AP35" s="292"/>
      <c r="AQ35" s="289"/>
      <c r="AR35" s="42"/>
      <c r="AS35" s="295"/>
      <c r="AT35" s="131" t="s">
        <v>168</v>
      </c>
    </row>
    <row r="36" spans="1:46" ht="159.75" customHeight="1">
      <c r="A36" s="163"/>
      <c r="B36" s="166"/>
      <c r="C36" s="169"/>
      <c r="D36" s="169"/>
      <c r="E36" s="169"/>
      <c r="F36" s="171"/>
      <c r="G36" s="287"/>
      <c r="H36" s="173"/>
      <c r="I36" s="175"/>
      <c r="J36" s="184"/>
      <c r="K36" s="137"/>
      <c r="L36" s="173"/>
      <c r="M36" s="175"/>
      <c r="N36" s="175"/>
      <c r="O36" s="140"/>
      <c r="P36" s="2"/>
      <c r="Q36" s="108">
        <v>5</v>
      </c>
      <c r="R36" s="124" t="s">
        <v>169</v>
      </c>
      <c r="S36" s="52" t="str">
        <f t="shared" si="47"/>
        <v>Impacto</v>
      </c>
      <c r="T36" s="6" t="s">
        <v>94</v>
      </c>
      <c r="U36" s="6" t="s">
        <v>65</v>
      </c>
      <c r="V36" s="56" t="str">
        <f t="shared" si="48"/>
        <v>25%</v>
      </c>
      <c r="W36" s="36" t="s">
        <v>170</v>
      </c>
      <c r="X36" s="36" t="s">
        <v>171</v>
      </c>
      <c r="Y36" s="36" t="s">
        <v>172</v>
      </c>
      <c r="Z36" s="64">
        <f>IFERROR(IF(AND(S35="Probabilidad",S36="Probabilidad"),(AB35-(+AB35*V36)),IF(S36="Probabilidad",(I33-(+I33*V36)),IF(S36="Impacto",AB35,""))),"")</f>
        <v>6.0479999999999992E-2</v>
      </c>
      <c r="AA36" s="65" t="str">
        <f t="shared" ref="AA36" si="49">IFERROR(IF(Z36="","",IF(Z36&lt;=0.2,"Muy Baja",IF(Z36&lt;=0.4,"Baja",IF(Z36&lt;=0.6,"Media",IF(Z36&lt;=0.8,"Alta","Muy Alta"))))),"")</f>
        <v>Muy Baja</v>
      </c>
      <c r="AB36" s="64">
        <f t="shared" ref="AB36" si="50">+Z36</f>
        <v>6.0479999999999992E-2</v>
      </c>
      <c r="AC36" s="67" t="str">
        <f t="shared" ref="AC36" si="51">IFERROR(IF(AD36="","",IF(AD36&lt;=0.2,"Leve",IF(AD36&lt;=0.4,"Menor",IF(AD36&lt;=0.6,"Moderado",IF(AD36&lt;=0.8,"Mayor","Catastrófico"))))),"")</f>
        <v>Mayor</v>
      </c>
      <c r="AD36" s="64">
        <f>IFERROR(IF(AND(S35="Impacto",S35="Impacto"),(AD35-(+AD35*V36)),IF(S36="Impacto",(M32-(+M32*V36)),IF(S36="Probabilidad",AD35,""))),"")</f>
        <v>0.75</v>
      </c>
      <c r="AE36" s="68" t="str">
        <f t="shared" ref="AE36" si="52">+CONCATENATE(AA36, " - ", AC36)</f>
        <v>Muy Baja - Mayor</v>
      </c>
      <c r="AF36" s="80" t="str">
        <f>+VLOOKUP(AE36,Datos!$J$4:$K$28,2,)</f>
        <v>ALTO</v>
      </c>
      <c r="AG36" s="179"/>
      <c r="AH36" s="2"/>
      <c r="AI36" s="209"/>
      <c r="AJ36" s="212"/>
      <c r="AK36" s="297"/>
      <c r="AM36" s="181"/>
      <c r="AN36" s="289"/>
      <c r="AO36" s="289"/>
      <c r="AP36" s="292"/>
      <c r="AQ36" s="289"/>
      <c r="AR36" s="42"/>
      <c r="AS36" s="295"/>
      <c r="AT36" s="131" t="s">
        <v>173</v>
      </c>
    </row>
    <row r="37" spans="1:46" ht="409.6">
      <c r="A37" s="164"/>
      <c r="B37" s="167"/>
      <c r="C37" s="170"/>
      <c r="D37" s="170"/>
      <c r="E37" s="170"/>
      <c r="F37" s="156"/>
      <c r="G37" s="288"/>
      <c r="H37" s="174"/>
      <c r="I37" s="152"/>
      <c r="J37" s="185"/>
      <c r="K37" s="138"/>
      <c r="L37" s="174"/>
      <c r="M37" s="152"/>
      <c r="N37" s="218"/>
      <c r="O37" s="141"/>
      <c r="P37" s="2"/>
      <c r="Q37" s="118">
        <v>6</v>
      </c>
      <c r="R37" s="125" t="s">
        <v>174</v>
      </c>
      <c r="S37" s="53" t="str">
        <f t="shared" si="47"/>
        <v>Impacto</v>
      </c>
      <c r="T37" s="22" t="s">
        <v>94</v>
      </c>
      <c r="U37" s="22" t="s">
        <v>65</v>
      </c>
      <c r="V37" s="57" t="str">
        <f t="shared" si="48"/>
        <v>25%</v>
      </c>
      <c r="W37" s="122" t="s">
        <v>170</v>
      </c>
      <c r="X37" s="36" t="s">
        <v>175</v>
      </c>
      <c r="Y37" s="122" t="s">
        <v>172</v>
      </c>
      <c r="Z37" s="69">
        <f>IFERROR(IF(AND(S33="Probabilidad",S37="Probabilidad"),(AB33-(+AB33*V37)),IF(S37="Probabilidad",(I32-(+I32*V37)),IF(S37="Impacto",AB33,""))),"")</f>
        <v>0.14399999999999999</v>
      </c>
      <c r="AA37" s="70" t="str">
        <f t="shared" si="43"/>
        <v>Muy Baja</v>
      </c>
      <c r="AB37" s="71">
        <f t="shared" si="44"/>
        <v>0.14399999999999999</v>
      </c>
      <c r="AC37" s="72" t="str">
        <f t="shared" si="45"/>
        <v>Moderado</v>
      </c>
      <c r="AD37" s="69">
        <f>IFERROR(IF(AND(S36="Impacto",S36="Impacto"),(AD36-(+AD36*V37)),IF(S37="Impacto",(M32-(+M32*V37)),IF(S37="Probabilidad",AD32,""))),"")</f>
        <v>0.5625</v>
      </c>
      <c r="AE37" s="73" t="str">
        <f t="shared" si="46"/>
        <v>Muy Baja - Moderado</v>
      </c>
      <c r="AF37" s="116" t="str">
        <f>+VLOOKUP(AE37,Datos!$J$4:$K$28,2,)</f>
        <v>MODERADO</v>
      </c>
      <c r="AG37" s="221"/>
      <c r="AH37" s="2"/>
      <c r="AI37" s="210"/>
      <c r="AJ37" s="213"/>
      <c r="AK37" s="298"/>
      <c r="AL37" s="82"/>
      <c r="AM37" s="182"/>
      <c r="AN37" s="290"/>
      <c r="AO37" s="290"/>
      <c r="AP37" s="293"/>
      <c r="AQ37" s="290"/>
      <c r="AR37" s="83"/>
      <c r="AS37" s="296"/>
      <c r="AT37" s="130" t="s">
        <v>176</v>
      </c>
    </row>
    <row r="38" spans="1:46">
      <c r="P38" s="2"/>
      <c r="AI38" s="114"/>
      <c r="AJ38" s="115"/>
      <c r="AK38" s="115"/>
    </row>
  </sheetData>
  <mergeCells count="127">
    <mergeCell ref="AN32:AN37"/>
    <mergeCell ref="AO32:AO37"/>
    <mergeCell ref="AP32:AP37"/>
    <mergeCell ref="AQ32:AQ37"/>
    <mergeCell ref="AS32:AS37"/>
    <mergeCell ref="AG32:AG37"/>
    <mergeCell ref="AI32:AI37"/>
    <mergeCell ref="AJ32:AJ37"/>
    <mergeCell ref="AK32:AK37"/>
    <mergeCell ref="AM32:AM37"/>
    <mergeCell ref="K32:K37"/>
    <mergeCell ref="L32:L37"/>
    <mergeCell ref="M32:M37"/>
    <mergeCell ref="N32:N37"/>
    <mergeCell ref="O32:O37"/>
    <mergeCell ref="F32:F37"/>
    <mergeCell ref="G32:G37"/>
    <mergeCell ref="H32:H37"/>
    <mergeCell ref="I32:I37"/>
    <mergeCell ref="J32:J37"/>
    <mergeCell ref="A32:A37"/>
    <mergeCell ref="B32:B37"/>
    <mergeCell ref="C32:C37"/>
    <mergeCell ref="D32:D37"/>
    <mergeCell ref="E32:E37"/>
    <mergeCell ref="AO17:AO23"/>
    <mergeCell ref="AM24:AM26"/>
    <mergeCell ref="AN24:AN26"/>
    <mergeCell ref="AP17:AP23"/>
    <mergeCell ref="L17:L23"/>
    <mergeCell ref="J17:J23"/>
    <mergeCell ref="B17:B23"/>
    <mergeCell ref="A17:A23"/>
    <mergeCell ref="C17:C23"/>
    <mergeCell ref="D17:D23"/>
    <mergeCell ref="H24:H26"/>
    <mergeCell ref="I24:I26"/>
    <mergeCell ref="A24:A26"/>
    <mergeCell ref="B24:B26"/>
    <mergeCell ref="C24:C26"/>
    <mergeCell ref="D24:D26"/>
    <mergeCell ref="E24:E26"/>
    <mergeCell ref="F24:F26"/>
    <mergeCell ref="G24:G26"/>
    <mergeCell ref="AQ17:AQ23"/>
    <mergeCell ref="AO24:AO26"/>
    <mergeCell ref="AP24:AP26"/>
    <mergeCell ref="AQ1:AR2"/>
    <mergeCell ref="AS1:AT2"/>
    <mergeCell ref="AQ3:AR4"/>
    <mergeCell ref="AS3:AT4"/>
    <mergeCell ref="AM14:AQ15"/>
    <mergeCell ref="AS14:AT15"/>
    <mergeCell ref="AQ5:AR6"/>
    <mergeCell ref="AS5:AT6"/>
    <mergeCell ref="AQ7:AR8"/>
    <mergeCell ref="AS7:AT8"/>
    <mergeCell ref="AS17:AS23"/>
    <mergeCell ref="AK27:AK29"/>
    <mergeCell ref="AJ30:AJ31"/>
    <mergeCell ref="AK30:AK31"/>
    <mergeCell ref="AI24:AI26"/>
    <mergeCell ref="AJ24:AJ26"/>
    <mergeCell ref="AK24:AK26"/>
    <mergeCell ref="J24:J26"/>
    <mergeCell ref="AG24:AG26"/>
    <mergeCell ref="K24:K26"/>
    <mergeCell ref="L24:L26"/>
    <mergeCell ref="M24:M26"/>
    <mergeCell ref="N24:N26"/>
    <mergeCell ref="O24:O26"/>
    <mergeCell ref="A1:B8"/>
    <mergeCell ref="C1:AP4"/>
    <mergeCell ref="AI14:AK15"/>
    <mergeCell ref="AI17:AI23"/>
    <mergeCell ref="AJ17:AJ23"/>
    <mergeCell ref="AK17:AK23"/>
    <mergeCell ref="K17:K23"/>
    <mergeCell ref="N17:N23"/>
    <mergeCell ref="AG17:AG23"/>
    <mergeCell ref="A10:C10"/>
    <mergeCell ref="D10:M10"/>
    <mergeCell ref="A11:C11"/>
    <mergeCell ref="D11:M11"/>
    <mergeCell ref="C5:AP8"/>
    <mergeCell ref="AM17:AM23"/>
    <mergeCell ref="AN17:AN23"/>
    <mergeCell ref="A12:C12"/>
    <mergeCell ref="D12:M12"/>
    <mergeCell ref="E17:E23"/>
    <mergeCell ref="A14:O15"/>
    <mergeCell ref="G17:G23"/>
    <mergeCell ref="H17:H23"/>
    <mergeCell ref="I17:I23"/>
    <mergeCell ref="A27:A31"/>
    <mergeCell ref="B27:B31"/>
    <mergeCell ref="C27:C31"/>
    <mergeCell ref="D27:D31"/>
    <mergeCell ref="E27:E31"/>
    <mergeCell ref="F27:F31"/>
    <mergeCell ref="G27:G31"/>
    <mergeCell ref="H27:H31"/>
    <mergeCell ref="I27:I31"/>
    <mergeCell ref="K27:K31"/>
    <mergeCell ref="O17:O23"/>
    <mergeCell ref="Q14:AG14"/>
    <mergeCell ref="Z15:AG15"/>
    <mergeCell ref="T15:Y15"/>
    <mergeCell ref="M17:M23"/>
    <mergeCell ref="F17:F23"/>
    <mergeCell ref="AQ24:AQ26"/>
    <mergeCell ref="AS24:AS26"/>
    <mergeCell ref="AQ27:AQ31"/>
    <mergeCell ref="AG27:AG31"/>
    <mergeCell ref="AN27:AN31"/>
    <mergeCell ref="AO27:AO31"/>
    <mergeCell ref="AP27:AP31"/>
    <mergeCell ref="AM27:AM31"/>
    <mergeCell ref="J27:J31"/>
    <mergeCell ref="AS27:AS31"/>
    <mergeCell ref="L27:L31"/>
    <mergeCell ref="M27:M31"/>
    <mergeCell ref="N27:N31"/>
    <mergeCell ref="O27:O31"/>
    <mergeCell ref="AI30:AI31"/>
    <mergeCell ref="AI27:AI29"/>
    <mergeCell ref="AJ27:AJ29"/>
  </mergeCells>
  <conditionalFormatting sqref="H17:H37">
    <cfRule type="cellIs" dxfId="29" priority="57" operator="equal">
      <formula>"Muy Alta"</formula>
    </cfRule>
    <cfRule type="cellIs" dxfId="28" priority="58" operator="equal">
      <formula>"Alta"</formula>
    </cfRule>
    <cfRule type="cellIs" dxfId="27" priority="59" operator="equal">
      <formula>"Media"</formula>
    </cfRule>
    <cfRule type="cellIs" dxfId="26" priority="60" operator="equal">
      <formula>"Muy Baja"</formula>
    </cfRule>
    <cfRule type="cellIs" dxfId="25" priority="61" operator="equal">
      <formula>"Baja"</formula>
    </cfRule>
  </conditionalFormatting>
  <conditionalFormatting sqref="L17:L37">
    <cfRule type="cellIs" dxfId="24" priority="52" operator="equal">
      <formula>"Leve"</formula>
    </cfRule>
    <cfRule type="cellIs" dxfId="23" priority="53" operator="equal">
      <formula>"Catastrófico"</formula>
    </cfRule>
    <cfRule type="cellIs" dxfId="22" priority="54" operator="equal">
      <formula>"Mayor"</formula>
    </cfRule>
    <cfRule type="cellIs" dxfId="21" priority="55" operator="equal">
      <formula>"Moderado"</formula>
    </cfRule>
    <cfRule type="cellIs" dxfId="20" priority="56" operator="equal">
      <formula>"Menor"</formula>
    </cfRule>
  </conditionalFormatting>
  <conditionalFormatting sqref="O17:O37">
    <cfRule type="cellIs" dxfId="19" priority="48" operator="equal">
      <formula>"EXTREMO"</formula>
    </cfRule>
    <cfRule type="cellIs" dxfId="18" priority="49" operator="equal">
      <formula>"ALTO"</formula>
    </cfRule>
    <cfRule type="cellIs" dxfId="17" priority="50" operator="equal">
      <formula>"BAJO"</formula>
    </cfRule>
    <cfRule type="cellIs" dxfId="16" priority="51" operator="equal">
      <formula>"MODERADO"</formula>
    </cfRule>
  </conditionalFormatting>
  <conditionalFormatting sqref="AA17:AA23">
    <cfRule type="cellIs" dxfId="15" priority="221" operator="equal">
      <formula>"Muy Baja"</formula>
    </cfRule>
  </conditionalFormatting>
  <conditionalFormatting sqref="AA17:AA37">
    <cfRule type="cellIs" dxfId="14" priority="2" operator="equal">
      <formula>"Baja"</formula>
    </cfRule>
    <cfRule type="cellIs" dxfId="13" priority="3" operator="equal">
      <formula>"Media"</formula>
    </cfRule>
    <cfRule type="cellIs" dxfId="12" priority="4" operator="equal">
      <formula>"Muy Alta"</formula>
    </cfRule>
    <cfRule type="cellIs" dxfId="11" priority="5" operator="equal">
      <formula>"Alta"</formula>
    </cfRule>
  </conditionalFormatting>
  <conditionalFormatting sqref="AA24">
    <cfRule type="cellIs" dxfId="10" priority="165" operator="equal">
      <formula>"B+$Z$17Muy Baja"</formula>
    </cfRule>
  </conditionalFormatting>
  <conditionalFormatting sqref="AA25:AA37">
    <cfRule type="cellIs" dxfId="9" priority="1" operator="equal">
      <formula>"Muy Baja"</formula>
    </cfRule>
  </conditionalFormatting>
  <conditionalFormatting sqref="AC17:AC37">
    <cfRule type="cellIs" dxfId="8" priority="38" operator="equal">
      <formula>"Catastrófico"</formula>
    </cfRule>
    <cfRule type="cellIs" dxfId="7" priority="39" operator="equal">
      <formula>"Mayor"</formula>
    </cfRule>
    <cfRule type="cellIs" dxfId="6" priority="40" operator="equal">
      <formula>"Moderado"</formula>
    </cfRule>
    <cfRule type="cellIs" dxfId="5" priority="41" operator="equal">
      <formula>"Menor"</formula>
    </cfRule>
    <cfRule type="cellIs" dxfId="4" priority="42" operator="equal">
      <formula>"Leve"</formula>
    </cfRule>
  </conditionalFormatting>
  <conditionalFormatting sqref="AF17:AF37">
    <cfRule type="cellIs" dxfId="3" priority="34" operator="equal">
      <formula>"EXTREMO"</formula>
    </cfRule>
    <cfRule type="cellIs" dxfId="2" priority="35" operator="equal">
      <formula>"ALTO"</formula>
    </cfRule>
    <cfRule type="cellIs" dxfId="1" priority="36" operator="equal">
      <formula>"BAJO"</formula>
    </cfRule>
    <cfRule type="cellIs" dxfId="0" priority="37" operator="equal">
      <formula>"MODERADO"</formula>
    </cfRule>
  </conditionalFormatting>
  <pageMargins left="0.70866141732283472" right="0.70866141732283472" top="0.74803149606299213" bottom="0.74803149606299213" header="0.31496062992125984" footer="0.31496062992125984"/>
  <pageSetup paperSize="41" scale="54" fitToWidth="3" fitToHeight="3" orientation="landscape" r:id="rId1"/>
  <colBreaks count="1" manualBreakCount="1">
    <brk id="16" max="23" man="1"/>
  </colBreaks>
  <ignoredErrors>
    <ignoredError sqref="O17 L23:M23 M17 L18:M18" evalError="1"/>
  </ignoredError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7CF86C26-8C14-4E30-92E4-11D42FE3F607}">
          <x14:formula1>
            <xm:f>Datos!$A$4:$A$6</xm:f>
          </x14:formula1>
          <xm:sqref>B17:B37</xm:sqref>
        </x14:dataValidation>
        <x14:dataValidation type="list" allowBlank="1" showInputMessage="1" showErrorMessage="1" xr:uid="{24BF034C-8DF6-4DDD-AB0C-FB15D8D5C9DC}">
          <x14:formula1>
            <xm:f>Datos!$O$3:$O$15</xm:f>
          </x14:formula1>
          <xm:sqref>J17:J37</xm:sqref>
        </x14:dataValidation>
        <x14:dataValidation type="list" allowBlank="1" showInputMessage="1" showErrorMessage="1" xr:uid="{A1FA52A4-69DE-4657-98CA-1920C8A6A77B}">
          <x14:formula1>
            <xm:f>Datos!$P$19:$P$22</xm:f>
          </x14:formula1>
          <xm:sqref>T17:T37</xm:sqref>
        </x14:dataValidation>
        <x14:dataValidation type="list" allowBlank="1" showInputMessage="1" showErrorMessage="1" xr:uid="{B5CA7F40-8C14-496F-BFA9-3397672B45BD}">
          <x14:formula1>
            <xm:f>Datos!$P$25:$P$26</xm:f>
          </x14:formula1>
          <xm:sqref>U17:U37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145F3-C2C7-423E-A64C-54A21F4DB808}">
  <dimension ref="A3:Q28"/>
  <sheetViews>
    <sheetView topLeftCell="A7" zoomScale="120" zoomScaleNormal="120" workbookViewId="0">
      <selection activeCell="J13" sqref="J13"/>
    </sheetView>
  </sheetViews>
  <sheetFormatPr defaultColWidth="11.42578125" defaultRowHeight="14.45"/>
  <cols>
    <col min="7" max="7" width="14.85546875" customWidth="1"/>
    <col min="10" max="10" width="33" customWidth="1"/>
    <col min="15" max="15" width="81.42578125" customWidth="1"/>
  </cols>
  <sheetData>
    <row r="3" spans="1:17">
      <c r="A3" s="26" t="s">
        <v>177</v>
      </c>
      <c r="D3" t="s">
        <v>178</v>
      </c>
      <c r="G3" t="s">
        <v>179</v>
      </c>
      <c r="J3" t="s">
        <v>180</v>
      </c>
      <c r="O3" t="s">
        <v>181</v>
      </c>
    </row>
    <row r="4" spans="1:17">
      <c r="A4" t="s">
        <v>58</v>
      </c>
      <c r="D4" t="s">
        <v>182</v>
      </c>
      <c r="E4" s="25">
        <v>0.2</v>
      </c>
      <c r="G4" t="s">
        <v>183</v>
      </c>
      <c r="H4" s="25">
        <v>0.2</v>
      </c>
      <c r="J4" t="s">
        <v>184</v>
      </c>
      <c r="K4" t="s">
        <v>185</v>
      </c>
      <c r="O4" t="s">
        <v>186</v>
      </c>
      <c r="P4" s="3" t="s">
        <v>187</v>
      </c>
      <c r="Q4" s="28">
        <v>0.2</v>
      </c>
    </row>
    <row r="5" spans="1:17">
      <c r="A5" t="s">
        <v>188</v>
      </c>
      <c r="D5" t="s">
        <v>189</v>
      </c>
      <c r="E5" s="25">
        <v>0.4</v>
      </c>
      <c r="G5" t="s">
        <v>190</v>
      </c>
      <c r="H5" s="25">
        <v>0.4</v>
      </c>
      <c r="J5" t="s">
        <v>191</v>
      </c>
      <c r="K5" t="s">
        <v>185</v>
      </c>
      <c r="O5" s="27" t="s">
        <v>192</v>
      </c>
      <c r="P5" s="3" t="s">
        <v>193</v>
      </c>
      <c r="Q5" s="28">
        <v>0.4</v>
      </c>
    </row>
    <row r="6" spans="1:17">
      <c r="A6" t="s">
        <v>194</v>
      </c>
      <c r="D6" t="s">
        <v>195</v>
      </c>
      <c r="E6" s="25">
        <v>0.6</v>
      </c>
      <c r="G6" t="s">
        <v>196</v>
      </c>
      <c r="H6" s="25">
        <v>0.6</v>
      </c>
      <c r="J6" t="s">
        <v>197</v>
      </c>
      <c r="K6" t="s">
        <v>196</v>
      </c>
      <c r="O6" t="s">
        <v>198</v>
      </c>
      <c r="P6" s="3" t="s">
        <v>199</v>
      </c>
      <c r="Q6" s="28">
        <v>0.6</v>
      </c>
    </row>
    <row r="7" spans="1:17">
      <c r="D7" t="s">
        <v>200</v>
      </c>
      <c r="E7" s="25">
        <v>0.8</v>
      </c>
      <c r="G7" t="s">
        <v>201</v>
      </c>
      <c r="H7" s="25">
        <v>0.8</v>
      </c>
      <c r="J7" t="s">
        <v>202</v>
      </c>
      <c r="K7" t="s">
        <v>203</v>
      </c>
      <c r="O7" t="s">
        <v>204</v>
      </c>
      <c r="P7" s="3" t="s">
        <v>205</v>
      </c>
      <c r="Q7" s="28">
        <v>0.8</v>
      </c>
    </row>
    <row r="8" spans="1:17">
      <c r="D8" t="s">
        <v>206</v>
      </c>
      <c r="E8" s="25">
        <v>1</v>
      </c>
      <c r="G8" t="s">
        <v>207</v>
      </c>
      <c r="H8" s="25">
        <v>1</v>
      </c>
      <c r="J8" t="s">
        <v>208</v>
      </c>
      <c r="K8" t="s">
        <v>209</v>
      </c>
      <c r="O8" t="s">
        <v>62</v>
      </c>
      <c r="P8" s="3" t="s">
        <v>210</v>
      </c>
      <c r="Q8" s="28">
        <v>1</v>
      </c>
    </row>
    <row r="9" spans="1:17">
      <c r="J9" t="s">
        <v>211</v>
      </c>
      <c r="K9" t="s">
        <v>185</v>
      </c>
    </row>
    <row r="10" spans="1:17">
      <c r="J10" t="s">
        <v>212</v>
      </c>
      <c r="K10" t="s">
        <v>196</v>
      </c>
      <c r="O10" t="s">
        <v>213</v>
      </c>
    </row>
    <row r="11" spans="1:17">
      <c r="J11" t="s">
        <v>214</v>
      </c>
      <c r="K11" t="s">
        <v>196</v>
      </c>
      <c r="O11" t="s">
        <v>215</v>
      </c>
      <c r="P11" s="3" t="s">
        <v>187</v>
      </c>
      <c r="Q11" s="28">
        <v>0.2</v>
      </c>
    </row>
    <row r="12" spans="1:17" ht="30.75" customHeight="1">
      <c r="J12" t="s">
        <v>216</v>
      </c>
      <c r="K12" t="s">
        <v>203</v>
      </c>
      <c r="O12" s="27" t="s">
        <v>217</v>
      </c>
      <c r="P12" s="3" t="s">
        <v>193</v>
      </c>
      <c r="Q12" s="28">
        <v>0.4</v>
      </c>
    </row>
    <row r="13" spans="1:17" ht="28.9">
      <c r="J13" t="s">
        <v>218</v>
      </c>
      <c r="K13" t="s">
        <v>209</v>
      </c>
      <c r="O13" s="27" t="s">
        <v>219</v>
      </c>
      <c r="P13" s="3" t="s">
        <v>199</v>
      </c>
      <c r="Q13" s="28">
        <v>0.6</v>
      </c>
    </row>
    <row r="14" spans="1:17" ht="28.9">
      <c r="J14" t="s">
        <v>220</v>
      </c>
      <c r="K14" t="s">
        <v>196</v>
      </c>
      <c r="O14" s="27" t="s">
        <v>221</v>
      </c>
      <c r="P14" s="3" t="s">
        <v>205</v>
      </c>
      <c r="Q14" s="28">
        <v>0.8</v>
      </c>
    </row>
    <row r="15" spans="1:17" ht="28.9">
      <c r="J15" t="s">
        <v>222</v>
      </c>
      <c r="K15" t="s">
        <v>196</v>
      </c>
      <c r="O15" s="27" t="s">
        <v>223</v>
      </c>
      <c r="P15" s="3" t="s">
        <v>210</v>
      </c>
      <c r="Q15" s="28">
        <v>1</v>
      </c>
    </row>
    <row r="16" spans="1:17">
      <c r="J16" t="s">
        <v>224</v>
      </c>
      <c r="K16" t="s">
        <v>196</v>
      </c>
    </row>
    <row r="17" spans="10:16">
      <c r="J17" t="s">
        <v>225</v>
      </c>
      <c r="K17" t="s">
        <v>203</v>
      </c>
    </row>
    <row r="18" spans="10:16">
      <c r="J18" t="s">
        <v>226</v>
      </c>
      <c r="K18" t="s">
        <v>209</v>
      </c>
    </row>
    <row r="19" spans="10:16">
      <c r="J19" t="s">
        <v>227</v>
      </c>
      <c r="K19" t="s">
        <v>196</v>
      </c>
      <c r="P19" t="s">
        <v>228</v>
      </c>
    </row>
    <row r="20" spans="10:16">
      <c r="J20" t="s">
        <v>229</v>
      </c>
      <c r="K20" t="s">
        <v>196</v>
      </c>
      <c r="P20" t="s">
        <v>79</v>
      </c>
    </row>
    <row r="21" spans="10:16">
      <c r="J21" t="s">
        <v>230</v>
      </c>
      <c r="K21" t="s">
        <v>203</v>
      </c>
      <c r="P21" t="s">
        <v>64</v>
      </c>
    </row>
    <row r="22" spans="10:16">
      <c r="J22" t="s">
        <v>231</v>
      </c>
      <c r="K22" t="s">
        <v>203</v>
      </c>
      <c r="P22" t="s">
        <v>94</v>
      </c>
    </row>
    <row r="23" spans="10:16">
      <c r="J23" t="s">
        <v>232</v>
      </c>
      <c r="K23" t="s">
        <v>209</v>
      </c>
    </row>
    <row r="24" spans="10:16">
      <c r="J24" t="s">
        <v>233</v>
      </c>
      <c r="K24" t="s">
        <v>203</v>
      </c>
      <c r="P24" t="s">
        <v>234</v>
      </c>
    </row>
    <row r="25" spans="10:16">
      <c r="J25" t="s">
        <v>235</v>
      </c>
      <c r="K25" t="s">
        <v>203</v>
      </c>
      <c r="P25" t="s">
        <v>236</v>
      </c>
    </row>
    <row r="26" spans="10:16">
      <c r="J26" t="s">
        <v>237</v>
      </c>
      <c r="K26" t="s">
        <v>203</v>
      </c>
      <c r="P26" t="s">
        <v>65</v>
      </c>
    </row>
    <row r="27" spans="10:16">
      <c r="J27" t="s">
        <v>238</v>
      </c>
      <c r="K27" t="s">
        <v>203</v>
      </c>
    </row>
    <row r="28" spans="10:16">
      <c r="J28" t="s">
        <v>239</v>
      </c>
      <c r="K28" t="s">
        <v>209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4374F-F591-4574-B834-47D1B9F3602A}">
  <dimension ref="A1"/>
  <sheetViews>
    <sheetView workbookViewId="0">
      <selection activeCell="C36" sqref="C36"/>
    </sheetView>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bc649f1-e7f9-468c-8412-068dfd45bb2d">
      <Terms xmlns="http://schemas.microsoft.com/office/infopath/2007/PartnerControls"/>
    </lcf76f155ced4ddcb4097134ff3c332f>
    <TaxCatchAll xmlns="88415ba3-4c0e-4d95-9566-b4e76717e71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E1EA66CDFBEB943AC5D941CA9D16E43" ma:contentTypeVersion="14" ma:contentTypeDescription="Crear nuevo documento." ma:contentTypeScope="" ma:versionID="7002677efe90d45c96713576204f8faf">
  <xsd:schema xmlns:xsd="http://www.w3.org/2001/XMLSchema" xmlns:xs="http://www.w3.org/2001/XMLSchema" xmlns:p="http://schemas.microsoft.com/office/2006/metadata/properties" xmlns:ns2="4bc649f1-e7f9-468c-8412-068dfd45bb2d" xmlns:ns3="88415ba3-4c0e-4d95-9566-b4e76717e711" targetNamespace="http://schemas.microsoft.com/office/2006/metadata/properties" ma:root="true" ma:fieldsID="8fd5d08952aaf2c019c54f619c8d58b1" ns2:_="" ns3:_="">
    <xsd:import namespace="4bc649f1-e7f9-468c-8412-068dfd45bb2d"/>
    <xsd:import namespace="88415ba3-4c0e-4d95-9566-b4e76717e7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c649f1-e7f9-468c-8412-068dfd45bb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415ba3-4c0e-4d95-9566-b4e76717e71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e87e9c04-9322-4f02-85cd-322a08f0d447}" ma:internalName="TaxCatchAll" ma:showField="CatchAllData" ma:web="88415ba3-4c0e-4d95-9566-b4e76717e7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6FD5F8-6D45-4EDB-8D3C-8C33029E39AF}"/>
</file>

<file path=customXml/itemProps2.xml><?xml version="1.0" encoding="utf-8"?>
<ds:datastoreItem xmlns:ds="http://schemas.openxmlformats.org/officeDocument/2006/customXml" ds:itemID="{8F9203C5-E929-46DD-9617-639E48A62FA2}"/>
</file>

<file path=customXml/itemProps3.xml><?xml version="1.0" encoding="utf-8"?>
<ds:datastoreItem xmlns:ds="http://schemas.openxmlformats.org/officeDocument/2006/customXml" ds:itemID="{D69E075F-55A3-4660-ACE9-EAC59044251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Willington Granados Herrera</dc:creator>
  <cp:keywords/>
  <dc:description/>
  <cp:lastModifiedBy>Marcela Delgado Guarnizo</cp:lastModifiedBy>
  <cp:revision/>
  <dcterms:created xsi:type="dcterms:W3CDTF">2021-05-10T15:52:34Z</dcterms:created>
  <dcterms:modified xsi:type="dcterms:W3CDTF">2024-09-23T16:14:18Z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0x010100BE1EA66CDFBEB943AC5D941CA9D16E43</vt:lpwstr>
  </property>
  <property fmtid="{D5CDD505-2E9C-101B-9397-08002B2CF9AE}" pid="3" name="MediaServiceImageTags">
    <vt:lpwstr/>
  </property>
</Properties>
</file>